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985" windowHeight="10650" activeTab="2"/>
  </bookViews>
  <sheets>
    <sheet name="Budget" sheetId="1" r:id="rId1"/>
    <sheet name="Hourly and Annual" sheetId="2" r:id="rId2"/>
    <sheet name="Computed Fringe" sheetId="3" r:id="rId3"/>
  </sheets>
  <definedNames>
    <definedName name="_xlnm.Print_Titles" localSheetId="0">'Budget'!$A:$B,'Budget'!$1:$6</definedName>
    <definedName name="_xlnm.Print_Titles" localSheetId="1">'Hourly and Annual'!$A:$A,'Hourly and Annual'!$1:$4</definedName>
  </definedNames>
  <calcPr fullCalcOnLoad="1"/>
</workbook>
</file>

<file path=xl/sharedStrings.xml><?xml version="1.0" encoding="utf-8"?>
<sst xmlns="http://schemas.openxmlformats.org/spreadsheetml/2006/main" count="199" uniqueCount="162">
  <si>
    <t>Personnel</t>
  </si>
  <si>
    <t>Unemployment</t>
  </si>
  <si>
    <t>Federal withholding</t>
  </si>
  <si>
    <t>Medicare</t>
  </si>
  <si>
    <t>State withholding</t>
  </si>
  <si>
    <t>Facilities</t>
  </si>
  <si>
    <t>Space</t>
  </si>
  <si>
    <t>Utilities</t>
  </si>
  <si>
    <t>Maintenance</t>
  </si>
  <si>
    <t>Repairs</t>
  </si>
  <si>
    <t>Communication</t>
  </si>
  <si>
    <t>Phones</t>
  </si>
  <si>
    <t>Postage</t>
  </si>
  <si>
    <t>Copies, printing</t>
  </si>
  <si>
    <t>Equipment</t>
  </si>
  <si>
    <t>Vehicles</t>
  </si>
  <si>
    <t>Furniture</t>
  </si>
  <si>
    <t>IT</t>
  </si>
  <si>
    <t>IT network</t>
  </si>
  <si>
    <t>Hardware</t>
  </si>
  <si>
    <t>Software</t>
  </si>
  <si>
    <t>Tech support</t>
  </si>
  <si>
    <t>Internet</t>
  </si>
  <si>
    <t>Supplies</t>
  </si>
  <si>
    <t>Cleaning</t>
  </si>
  <si>
    <t>Paper goods</t>
  </si>
  <si>
    <t>Clerical</t>
  </si>
  <si>
    <t>Copy machine, printer cartridges</t>
  </si>
  <si>
    <t>Copy paper</t>
  </si>
  <si>
    <t>Travel</t>
  </si>
  <si>
    <t>Lodging</t>
  </si>
  <si>
    <t>Per diem</t>
  </si>
  <si>
    <t>Transportation</t>
  </si>
  <si>
    <t>Participant expenses</t>
  </si>
  <si>
    <t>Stipends</t>
  </si>
  <si>
    <t>Tuition</t>
  </si>
  <si>
    <t>Fees</t>
  </si>
  <si>
    <t>Educational/training materials</t>
  </si>
  <si>
    <t>Insurance</t>
  </si>
  <si>
    <t>General liability</t>
  </si>
  <si>
    <t>Hazard</t>
  </si>
  <si>
    <t>Professional</t>
  </si>
  <si>
    <t>Directors and Officers</t>
  </si>
  <si>
    <t>CAP</t>
  </si>
  <si>
    <t>CAPLAW</t>
  </si>
  <si>
    <t>EXPENSES</t>
  </si>
  <si>
    <t>Local, private</t>
  </si>
  <si>
    <t>Local, public</t>
  </si>
  <si>
    <t>Federal</t>
  </si>
  <si>
    <t>REVENUE</t>
  </si>
  <si>
    <t>FUND</t>
  </si>
  <si>
    <t>CSBG</t>
  </si>
  <si>
    <t>LIHEAP</t>
  </si>
  <si>
    <t>WAP DOE</t>
  </si>
  <si>
    <t>Budget Period</t>
  </si>
  <si>
    <t>ACME Agency-wide Budget</t>
  </si>
  <si>
    <t>Fiscal Year 2012</t>
  </si>
  <si>
    <t>October 1, 2011 to September 30, 2012</t>
  </si>
  <si>
    <t>Oct-Sep</t>
  </si>
  <si>
    <t>Oct - Sep</t>
  </si>
  <si>
    <t>Apr-Sep</t>
  </si>
  <si>
    <t>Oct-Apr</t>
  </si>
  <si>
    <t>Oct-Dec</t>
  </si>
  <si>
    <t>Feb-Sep</t>
  </si>
  <si>
    <t>Oct-Jan</t>
  </si>
  <si>
    <t>State</t>
  </si>
  <si>
    <t>Adams County</t>
  </si>
  <si>
    <t>Oct-June</t>
  </si>
  <si>
    <t>Jan-Sep</t>
  </si>
  <si>
    <t>June-Sep</t>
  </si>
  <si>
    <t>Other</t>
  </si>
  <si>
    <t>TOTAL REVENUE</t>
  </si>
  <si>
    <t>Rental Income</t>
  </si>
  <si>
    <t>Head Start</t>
  </si>
  <si>
    <t>Payroll Expenses</t>
  </si>
  <si>
    <t>Workers Compensation</t>
  </si>
  <si>
    <t>TOTAL</t>
  </si>
  <si>
    <t>Admin Pool</t>
  </si>
  <si>
    <t>Charge to Admin Pool</t>
  </si>
  <si>
    <t>Weatherization</t>
  </si>
  <si>
    <t>Projection and Distribution of Personnel Costs</t>
  </si>
  <si>
    <t>Revise this list with correct job titles</t>
  </si>
  <si>
    <t>List each employee with job title</t>
  </si>
  <si>
    <t>Only non-exempt</t>
  </si>
  <si>
    <t>All Exempt</t>
  </si>
  <si>
    <t>As appro-priate</t>
  </si>
  <si>
    <t>CONTROL</t>
  </si>
  <si>
    <t>Fund Name</t>
  </si>
  <si>
    <t>Position</t>
  </si>
  <si>
    <t>Name</t>
  </si>
  <si>
    <t>Hourly</t>
  </si>
  <si>
    <t>Annual</t>
  </si>
  <si>
    <t>Increase</t>
  </si>
  <si>
    <t>%</t>
  </si>
  <si>
    <t>Amount</t>
  </si>
  <si>
    <t>Executive Director</t>
  </si>
  <si>
    <t>Finance Director</t>
  </si>
  <si>
    <t>HR Director</t>
  </si>
  <si>
    <t>Family Services</t>
  </si>
  <si>
    <t>EHS/HS Director</t>
  </si>
  <si>
    <t>Housing Director</t>
  </si>
  <si>
    <t>Teacher</t>
  </si>
  <si>
    <t>Teacher Assistant</t>
  </si>
  <si>
    <t>Teacher Aide</t>
  </si>
  <si>
    <t>House inspector</t>
  </si>
  <si>
    <t>Crew leader</t>
  </si>
  <si>
    <t>Wx Technician</t>
  </si>
  <si>
    <t>Intake Worker</t>
  </si>
  <si>
    <t>FD Specialist</t>
  </si>
  <si>
    <t>Receptionist</t>
  </si>
  <si>
    <t>COMPUTED FRINGE BENEFIT COSTS</t>
  </si>
  <si>
    <r>
      <rPr>
        <b/>
        <sz val="11"/>
        <color indexed="8"/>
        <rFont val="Calibri"/>
        <family val="2"/>
      </rPr>
      <t>ENTER</t>
    </r>
    <r>
      <rPr>
        <sz val="11"/>
        <color theme="1"/>
        <rFont val="Calibri"/>
        <family val="2"/>
      </rPr>
      <t xml:space="preserve"> the pension and unemployment rates for your CAA in the right column, below.</t>
    </r>
  </si>
  <si>
    <t>Soc Security (S)</t>
  </si>
  <si>
    <t>Health Insurance (annual)</t>
  </si>
  <si>
    <t>Medicare (M)</t>
  </si>
  <si>
    <t>Pension (P)</t>
  </si>
  <si>
    <t>Unemployment (U)</t>
  </si>
  <si>
    <t>SMPU</t>
  </si>
  <si>
    <r>
      <t xml:space="preserve">The cost of the correct Health Insurance plan must be entered below for each </t>
    </r>
    <r>
      <rPr>
        <b/>
        <sz val="11"/>
        <color indexed="8"/>
        <rFont val="Calibri"/>
        <family val="2"/>
      </rPr>
      <t>enrolled</t>
    </r>
    <r>
      <rPr>
        <sz val="11"/>
        <color theme="1"/>
        <rFont val="Calibri"/>
        <family val="2"/>
      </rPr>
      <t xml:space="preserve"> employee.</t>
    </r>
  </si>
  <si>
    <r>
      <t xml:space="preserve">These columns are linked to the Hourly&amp; Annual tab. </t>
    </r>
    <r>
      <rPr>
        <b/>
        <sz val="10"/>
        <color indexed="8"/>
        <rFont val="Calibri"/>
        <family val="2"/>
      </rPr>
      <t>Extend</t>
    </r>
    <r>
      <rPr>
        <sz val="10"/>
        <color indexed="8"/>
        <rFont val="Calibri"/>
        <family val="2"/>
      </rPr>
      <t xml:space="preserve"> the lists and formulas down far enough to include all employees.</t>
    </r>
  </si>
  <si>
    <r>
      <t xml:space="preserve">SMPU
</t>
    </r>
    <r>
      <rPr>
        <sz val="10"/>
        <color indexed="8"/>
        <rFont val="Calibri"/>
        <family val="2"/>
      </rPr>
      <t>This rate applies to all</t>
    </r>
  </si>
  <si>
    <r>
      <t xml:space="preserve">Workers Comp
</t>
    </r>
    <r>
      <rPr>
        <sz val="10"/>
        <color indexed="8"/>
        <rFont val="Calibri"/>
        <family val="2"/>
      </rPr>
      <t>ENTER the correct  rate for each employee position.</t>
    </r>
  </si>
  <si>
    <r>
      <t>Health Insurance
ENTER p</t>
    </r>
    <r>
      <rPr>
        <sz val="10"/>
        <color indexed="8"/>
        <rFont val="Calibri"/>
        <family val="2"/>
      </rPr>
      <t>er employee</t>
    </r>
  </si>
  <si>
    <t>Rate</t>
  </si>
  <si>
    <t>Total Fringe</t>
  </si>
  <si>
    <t>Fringe Rate</t>
  </si>
  <si>
    <t>Jefferson UW</t>
  </si>
  <si>
    <t>Cindy Davis</t>
  </si>
  <si>
    <t>Ellen Folkes</t>
  </si>
  <si>
    <t>Gaylee Howard</t>
  </si>
  <si>
    <t>Ida Jackson</t>
  </si>
  <si>
    <t>Kevin Lynch</t>
  </si>
  <si>
    <t>Marian Newton</t>
  </si>
  <si>
    <t>Orlando Palmer</t>
  </si>
  <si>
    <t>Quinella Ransom</t>
  </si>
  <si>
    <t>Steve Traynor</t>
  </si>
  <si>
    <t>Udell Vickers</t>
  </si>
  <si>
    <t>Wayne Xavier</t>
  </si>
  <si>
    <t>Yolanda Zenith</t>
  </si>
  <si>
    <t>Abby Baker</t>
  </si>
  <si>
    <t>Christa Dodd</t>
  </si>
  <si>
    <t>computed</t>
  </si>
  <si>
    <t>Angela Baker</t>
  </si>
  <si>
    <t>Fringe Benefits (SMPU)</t>
  </si>
  <si>
    <t>Fringe benefits (SMPU)</t>
  </si>
  <si>
    <t>Allocations to Admin Pool</t>
  </si>
  <si>
    <t>Non-Admin salary and wages</t>
  </si>
  <si>
    <t>Admin allocation as % of salary and wages</t>
  </si>
  <si>
    <t>Percent</t>
  </si>
  <si>
    <t>Mileage reimbursement</t>
  </si>
  <si>
    <t>State HS Association</t>
  </si>
  <si>
    <t>Employee only</t>
  </si>
  <si>
    <t>Employee + 2</t>
  </si>
  <si>
    <t>Family</t>
  </si>
  <si>
    <t>State CAA association</t>
  </si>
  <si>
    <r>
      <rPr>
        <b/>
        <sz val="10"/>
        <color indexed="8"/>
        <rFont val="Calibri"/>
        <family val="2"/>
      </rPr>
      <t>ENTER</t>
    </r>
    <r>
      <rPr>
        <sz val="10"/>
        <color indexed="8"/>
        <rFont val="Calibri"/>
        <family val="2"/>
      </rPr>
      <t xml:space="preserve"> the health plans offered by your CAA in the left column.
</t>
    </r>
    <r>
      <rPr>
        <b/>
        <sz val="10"/>
        <color indexed="8"/>
        <rFont val="Calibri"/>
        <family val="2"/>
      </rPr>
      <t>ENTER</t>
    </r>
    <r>
      <rPr>
        <sz val="10"/>
        <color indexed="8"/>
        <rFont val="Calibri"/>
        <family val="2"/>
      </rPr>
      <t xml:space="preserve"> the </t>
    </r>
    <r>
      <rPr>
        <b/>
        <sz val="10"/>
        <color indexed="8"/>
        <rFont val="Calibri"/>
        <family val="2"/>
      </rPr>
      <t>annual CAA cost</t>
    </r>
    <r>
      <rPr>
        <sz val="10"/>
        <color indexed="8"/>
        <rFont val="Calibri"/>
        <family val="2"/>
      </rPr>
      <t xml:space="preserve"> for each plan in the right column.</t>
    </r>
  </si>
  <si>
    <t>Empl +spouse</t>
  </si>
  <si>
    <t>The SMPU total percentage will transfer to the table below (D15)  and be applied to all employees.</t>
  </si>
  <si>
    <t>Harvard Business Rev</t>
  </si>
  <si>
    <t>Memberships/Dues/Subs</t>
  </si>
  <si>
    <t>Jefferson United Way</t>
  </si>
  <si>
    <t>This publication was created by Meliora Partners, Inc., in the performance of the U.S. Department of Health and Human Services, Administration for Children and Families, Office of Community Services Grant Number 90ET0430. Any opinion, findings, conclusions, or recommendations expressed in this material are those of the author(s) and do not necessarily reflect the views of the U.S. Department of Health and Human Services, Administration for Children and Families.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</si>
</sst>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_(&quot;$&quot;* #,##0_);_(&quot;$&quot;* \(#,##0\);_(&quot;$&quot;* &quot;-&quot;??_);_(@_)"/>
    <numFmt numFmtId="167" formatCode="0.0%"/>
    <numFmt numFmtId="168" formatCode="m/d;@"/>
  </numFmts>
  <fonts count="49">
    <font>
      <sz val="11"/>
      <color theme="1"/>
      <name val="Calibri"/>
      <family val="2"/>
    </font>
    <font>
      <sz val="11"/>
      <color indexed="8"/>
      <name val="Calibri"/>
      <family val="2"/>
    </font>
    <font>
      <b/>
      <sz val="11"/>
      <color indexed="8"/>
      <name val="Calibri"/>
      <family val="2"/>
    </font>
    <font>
      <sz val="10"/>
      <color indexed="8"/>
      <name val="Calibri"/>
      <family val="2"/>
    </font>
    <font>
      <b/>
      <sz val="10"/>
      <color indexed="8"/>
      <name val="Calibri"/>
      <family val="2"/>
    </font>
    <font>
      <sz val="11"/>
      <color indexed="8"/>
      <name val="Palatino Linotype"/>
      <family val="1"/>
    </font>
    <font>
      <b/>
      <sz val="11"/>
      <color indexed="8"/>
      <name val="Palatino Linotype"/>
      <family val="1"/>
    </font>
    <font>
      <sz val="11"/>
      <name val="Calibri"/>
      <family val="2"/>
    </font>
    <font>
      <sz val="11"/>
      <color indexed="51"/>
      <name val="Calibri"/>
      <family val="2"/>
    </font>
    <font>
      <sz val="11"/>
      <color indexed="10"/>
      <name val="Calibri"/>
      <family val="2"/>
    </font>
    <font>
      <b/>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Palatino Linotype"/>
      <family val="1"/>
    </font>
    <font>
      <b/>
      <sz val="11"/>
      <color theme="1"/>
      <name val="Palatino Linotype"/>
      <family val="1"/>
    </font>
    <font>
      <sz val="10"/>
      <color theme="1"/>
      <name val="Calibri"/>
      <family val="2"/>
    </font>
    <font>
      <sz val="11"/>
      <color rgb="FFFFC000"/>
      <name val="Calibri"/>
      <family val="2"/>
    </font>
    <font>
      <b/>
      <sz val="11"/>
      <color rgb="FFFF0000"/>
      <name val="Calibri"/>
      <family val="2"/>
    </font>
    <font>
      <b/>
      <sz val="10"/>
      <color theme="1"/>
      <name val="Calibri"/>
      <family val="2"/>
    </font>
    <font>
      <sz val="8"/>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theme="2" tint="-0.24997000396251678"/>
        <bgColor indexed="64"/>
      </patternFill>
    </fill>
    <fill>
      <patternFill patternType="solid">
        <fgColor theme="0" tint="-0.3499799966812134"/>
        <bgColor indexed="64"/>
      </patternFill>
    </fill>
    <fill>
      <patternFill patternType="solid">
        <fgColor rgb="FFFFFF00"/>
        <bgColor indexed="64"/>
      </patternFill>
    </fill>
    <fill>
      <patternFill patternType="solid">
        <fgColor rgb="FF00B0F0"/>
        <bgColor indexed="64"/>
      </patternFill>
    </fill>
    <fill>
      <patternFill patternType="solid">
        <fgColor theme="9"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top style="thin"/>
      <bottom style="double"/>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75">
    <xf numFmtId="0" fontId="0" fillId="0" borderId="0" xfId="0" applyFont="1" applyAlignment="1">
      <alignment/>
    </xf>
    <xf numFmtId="0" fontId="42" fillId="0" borderId="0" xfId="0" applyFont="1" applyAlignment="1">
      <alignment/>
    </xf>
    <xf numFmtId="0" fontId="40" fillId="0" borderId="0" xfId="0" applyFont="1" applyAlignment="1">
      <alignment/>
    </xf>
    <xf numFmtId="0" fontId="43" fillId="0" borderId="0" xfId="0" applyFont="1" applyAlignment="1">
      <alignment/>
    </xf>
    <xf numFmtId="0" fontId="0" fillId="0" borderId="0" xfId="0" applyAlignment="1">
      <alignment horizontal="center"/>
    </xf>
    <xf numFmtId="0" fontId="40" fillId="0" borderId="0" xfId="0" applyFont="1" applyAlignment="1">
      <alignment horizontal="center"/>
    </xf>
    <xf numFmtId="0" fontId="40" fillId="0" borderId="0" xfId="0" applyFont="1" applyAlignment="1">
      <alignment horizontal="right"/>
    </xf>
    <xf numFmtId="3" fontId="0" fillId="0" borderId="0" xfId="0" applyNumberFormat="1" applyAlignment="1">
      <alignment/>
    </xf>
    <xf numFmtId="0" fontId="40" fillId="10" borderId="10" xfId="0" applyFont="1" applyFill="1" applyBorder="1" applyAlignment="1">
      <alignment horizontal="right"/>
    </xf>
    <xf numFmtId="3" fontId="0" fillId="10" borderId="0" xfId="0" applyNumberFormat="1" applyFill="1" applyAlignment="1">
      <alignment/>
    </xf>
    <xf numFmtId="3" fontId="0" fillId="3" borderId="0" xfId="0" applyNumberFormat="1" applyFill="1" applyAlignment="1">
      <alignment/>
    </xf>
    <xf numFmtId="0" fontId="40" fillId="8" borderId="10" xfId="0" applyFont="1" applyFill="1" applyBorder="1" applyAlignment="1">
      <alignment horizontal="right"/>
    </xf>
    <xf numFmtId="3" fontId="0" fillId="8" borderId="0" xfId="0" applyNumberFormat="1" applyFill="1" applyAlignment="1">
      <alignment/>
    </xf>
    <xf numFmtId="3" fontId="0" fillId="5" borderId="0" xfId="0" applyNumberFormat="1" applyFill="1" applyAlignment="1">
      <alignment/>
    </xf>
    <xf numFmtId="3" fontId="0" fillId="11" borderId="0" xfId="0" applyNumberFormat="1" applyFill="1" applyAlignment="1">
      <alignment/>
    </xf>
    <xf numFmtId="3" fontId="0" fillId="9" borderId="0" xfId="0" applyNumberFormat="1" applyFill="1" applyAlignment="1">
      <alignment/>
    </xf>
    <xf numFmtId="3" fontId="0" fillId="6" borderId="0" xfId="0" applyNumberFormat="1" applyFill="1" applyAlignment="1">
      <alignment/>
    </xf>
    <xf numFmtId="3" fontId="0" fillId="12" borderId="0" xfId="0" applyNumberFormat="1" applyFill="1" applyAlignment="1">
      <alignment/>
    </xf>
    <xf numFmtId="3" fontId="0" fillId="33" borderId="0" xfId="0" applyNumberFormat="1" applyFill="1" applyAlignment="1">
      <alignment/>
    </xf>
    <xf numFmtId="3" fontId="0" fillId="34" borderId="0" xfId="0" applyNumberFormat="1" applyFill="1" applyAlignment="1">
      <alignment/>
    </xf>
    <xf numFmtId="0" fontId="40" fillId="0" borderId="0" xfId="0" applyFont="1" applyAlignment="1">
      <alignment horizontal="left"/>
    </xf>
    <xf numFmtId="3" fontId="0" fillId="35" borderId="0" xfId="0" applyNumberFormat="1" applyFill="1" applyAlignment="1">
      <alignment/>
    </xf>
    <xf numFmtId="3" fontId="0" fillId="36" borderId="0" xfId="0" applyNumberFormat="1" applyFill="1" applyAlignment="1">
      <alignment/>
    </xf>
    <xf numFmtId="3" fontId="0" fillId="37" borderId="0" xfId="0" applyNumberFormat="1" applyFill="1" applyAlignment="1">
      <alignment/>
    </xf>
    <xf numFmtId="0" fontId="0" fillId="10" borderId="11" xfId="0" applyFill="1" applyBorder="1" applyAlignment="1">
      <alignment/>
    </xf>
    <xf numFmtId="0" fontId="0" fillId="8" borderId="11" xfId="0" applyFill="1" applyBorder="1" applyAlignment="1">
      <alignment/>
    </xf>
    <xf numFmtId="0" fontId="0" fillId="5" borderId="11" xfId="0" applyFill="1" applyBorder="1" applyAlignment="1">
      <alignment/>
    </xf>
    <xf numFmtId="0" fontId="0" fillId="11" borderId="11" xfId="0" applyFill="1" applyBorder="1" applyAlignment="1">
      <alignment/>
    </xf>
    <xf numFmtId="0" fontId="0" fillId="3" borderId="11" xfId="0" applyFill="1" applyBorder="1" applyAlignment="1">
      <alignment/>
    </xf>
    <xf numFmtId="0" fontId="0" fillId="9" borderId="11" xfId="0" applyFill="1" applyBorder="1" applyAlignment="1">
      <alignment/>
    </xf>
    <xf numFmtId="0" fontId="0" fillId="33" borderId="11" xfId="0" applyFill="1" applyBorder="1" applyAlignment="1">
      <alignment/>
    </xf>
    <xf numFmtId="0" fontId="0" fillId="34" borderId="11" xfId="0" applyFill="1" applyBorder="1" applyAlignment="1">
      <alignment/>
    </xf>
    <xf numFmtId="0" fontId="0" fillId="36" borderId="11" xfId="0" applyFill="1" applyBorder="1" applyAlignment="1">
      <alignment/>
    </xf>
    <xf numFmtId="0" fontId="0" fillId="37" borderId="11" xfId="0" applyFill="1" applyBorder="1" applyAlignment="1">
      <alignment/>
    </xf>
    <xf numFmtId="3" fontId="0" fillId="0" borderId="0" xfId="0" applyNumberFormat="1" applyFill="1" applyAlignment="1">
      <alignment/>
    </xf>
    <xf numFmtId="164" fontId="0" fillId="0" borderId="0" xfId="42" applyNumberFormat="1" applyFont="1" applyFill="1" applyAlignment="1">
      <alignment/>
    </xf>
    <xf numFmtId="0" fontId="0" fillId="0" borderId="0" xfId="0" applyAlignment="1">
      <alignment horizontal="right"/>
    </xf>
    <xf numFmtId="44" fontId="40" fillId="0" borderId="0" xfId="44" applyFont="1" applyAlignment="1">
      <alignment horizontal="right"/>
    </xf>
    <xf numFmtId="42" fontId="40" fillId="0" borderId="0" xfId="44" applyNumberFormat="1" applyFont="1" applyAlignment="1">
      <alignment horizontal="right"/>
    </xf>
    <xf numFmtId="0" fontId="0" fillId="0" borderId="10" xfId="0" applyBorder="1" applyAlignment="1">
      <alignment horizontal="center"/>
    </xf>
    <xf numFmtId="0" fontId="0" fillId="0" borderId="10" xfId="0" applyBorder="1" applyAlignment="1">
      <alignment horizontal="right"/>
    </xf>
    <xf numFmtId="44" fontId="0" fillId="0" borderId="0" xfId="44" applyFont="1" applyAlignment="1">
      <alignment horizontal="right"/>
    </xf>
    <xf numFmtId="42" fontId="0" fillId="0" borderId="0" xfId="44" applyNumberFormat="1" applyFont="1" applyAlignment="1">
      <alignment horizontal="right"/>
    </xf>
    <xf numFmtId="9" fontId="0" fillId="0" borderId="0" xfId="0" applyNumberFormat="1" applyAlignment="1">
      <alignment horizontal="right"/>
    </xf>
    <xf numFmtId="42" fontId="0" fillId="0" borderId="0" xfId="0" applyNumberFormat="1" applyAlignment="1">
      <alignment horizontal="right"/>
    </xf>
    <xf numFmtId="9" fontId="0" fillId="0" borderId="0" xfId="0" applyNumberFormat="1" applyAlignment="1">
      <alignment/>
    </xf>
    <xf numFmtId="42" fontId="40" fillId="17" borderId="0" xfId="44" applyNumberFormat="1" applyFont="1" applyFill="1" applyAlignment="1">
      <alignment horizontal="right"/>
    </xf>
    <xf numFmtId="42" fontId="40" fillId="0" borderId="0" xfId="0" applyNumberFormat="1" applyFont="1" applyAlignment="1">
      <alignment horizontal="right"/>
    </xf>
    <xf numFmtId="165" fontId="0" fillId="0" borderId="0" xfId="0" applyNumberFormat="1" applyAlignment="1">
      <alignment/>
    </xf>
    <xf numFmtId="165" fontId="44" fillId="0" borderId="0" xfId="0" applyNumberFormat="1" applyFont="1" applyAlignment="1">
      <alignment horizontal="left" vertical="center" wrapText="1"/>
    </xf>
    <xf numFmtId="0" fontId="0" fillId="0" borderId="0" xfId="0" applyBorder="1" applyAlignment="1">
      <alignment/>
    </xf>
    <xf numFmtId="0" fontId="44" fillId="0" borderId="0" xfId="0" applyFont="1" applyBorder="1" applyAlignment="1">
      <alignment horizontal="left" vertical="center"/>
    </xf>
    <xf numFmtId="0" fontId="0" fillId="0" borderId="0" xfId="0" applyBorder="1" applyAlignment="1">
      <alignment horizontal="left" vertical="center"/>
    </xf>
    <xf numFmtId="0" fontId="0" fillId="0" borderId="0" xfId="0" applyFill="1" applyAlignment="1">
      <alignment/>
    </xf>
    <xf numFmtId="0" fontId="0" fillId="0" borderId="0" xfId="0" applyFill="1" applyBorder="1" applyAlignment="1">
      <alignment horizontal="right"/>
    </xf>
    <xf numFmtId="0" fontId="0" fillId="0" borderId="0" xfId="0" applyAlignment="1">
      <alignment/>
    </xf>
    <xf numFmtId="165" fontId="44" fillId="0" borderId="0" xfId="0" applyNumberFormat="1" applyFont="1" applyAlignment="1">
      <alignment horizontal="left" vertical="center"/>
    </xf>
    <xf numFmtId="165" fontId="44" fillId="0" borderId="0" xfId="0" applyNumberFormat="1" applyFont="1" applyAlignment="1">
      <alignment horizontal="center" vertical="center" wrapText="1"/>
    </xf>
    <xf numFmtId="10" fontId="40" fillId="0" borderId="0" xfId="0" applyNumberFormat="1" applyFont="1" applyAlignment="1">
      <alignment/>
    </xf>
    <xf numFmtId="42" fontId="0" fillId="0" borderId="0" xfId="44" applyNumberFormat="1" applyFont="1" applyFill="1" applyAlignment="1">
      <alignment horizontal="right"/>
    </xf>
    <xf numFmtId="165" fontId="0" fillId="0" borderId="0" xfId="0" applyNumberFormat="1" applyFill="1" applyAlignment="1">
      <alignment/>
    </xf>
    <xf numFmtId="0" fontId="0" fillId="0" borderId="0" xfId="0" applyFill="1" applyAlignment="1">
      <alignment horizontal="center"/>
    </xf>
    <xf numFmtId="0" fontId="44" fillId="0" borderId="0" xfId="0" applyFont="1" applyFill="1" applyAlignment="1">
      <alignment horizontal="left" vertical="center" wrapText="1"/>
    </xf>
    <xf numFmtId="10" fontId="0" fillId="38" borderId="0" xfId="0" applyNumberFormat="1" applyFill="1" applyAlignment="1">
      <alignment/>
    </xf>
    <xf numFmtId="10" fontId="7" fillId="16" borderId="0" xfId="0" applyNumberFormat="1" applyFont="1" applyFill="1" applyAlignment="1">
      <alignment horizontal="right"/>
    </xf>
    <xf numFmtId="0" fontId="0" fillId="16" borderId="0" xfId="0" applyFill="1" applyAlignment="1">
      <alignment horizontal="right"/>
    </xf>
    <xf numFmtId="10" fontId="0" fillId="39" borderId="0" xfId="0" applyNumberFormat="1" applyFill="1" applyAlignment="1">
      <alignment/>
    </xf>
    <xf numFmtId="166" fontId="0" fillId="16" borderId="0" xfId="0" applyNumberFormat="1" applyFill="1" applyAlignment="1">
      <alignment/>
    </xf>
    <xf numFmtId="9" fontId="0" fillId="0" borderId="0" xfId="0" applyNumberFormat="1" applyFill="1" applyAlignment="1">
      <alignment horizontal="center"/>
    </xf>
    <xf numFmtId="165" fontId="0" fillId="16" borderId="0" xfId="0" applyNumberFormat="1" applyFill="1" applyAlignment="1">
      <alignment/>
    </xf>
    <xf numFmtId="42" fontId="40" fillId="38" borderId="0" xfId="44" applyNumberFormat="1" applyFont="1" applyFill="1" applyAlignment="1">
      <alignment horizontal="right"/>
    </xf>
    <xf numFmtId="0" fontId="45" fillId="16" borderId="0" xfId="0" applyFont="1" applyFill="1" applyAlignment="1">
      <alignment horizontal="center"/>
    </xf>
    <xf numFmtId="42" fontId="40" fillId="40" borderId="0" xfId="44" applyNumberFormat="1" applyFont="1" applyFill="1" applyAlignment="1">
      <alignment horizontal="right"/>
    </xf>
    <xf numFmtId="42" fontId="40" fillId="39" borderId="0" xfId="44" applyNumberFormat="1" applyFont="1" applyFill="1" applyAlignment="1">
      <alignment horizontal="right"/>
    </xf>
    <xf numFmtId="0" fontId="0" fillId="16" borderId="0" xfId="0" applyFill="1" applyAlignment="1">
      <alignment/>
    </xf>
    <xf numFmtId="0" fontId="0" fillId="16" borderId="0" xfId="0" applyFill="1" applyAlignment="1">
      <alignment horizontal="center"/>
    </xf>
    <xf numFmtId="0" fontId="40" fillId="16" borderId="0" xfId="0" applyFont="1" applyFill="1" applyAlignment="1">
      <alignment horizontal="right"/>
    </xf>
    <xf numFmtId="10" fontId="0" fillId="16" borderId="0" xfId="0" applyNumberFormat="1" applyFill="1" applyAlignment="1">
      <alignment/>
    </xf>
    <xf numFmtId="9" fontId="0" fillId="0" borderId="0" xfId="57" applyFont="1" applyAlignment="1">
      <alignment/>
    </xf>
    <xf numFmtId="9" fontId="0" fillId="0" borderId="0" xfId="57" applyFont="1" applyFill="1" applyAlignment="1">
      <alignment/>
    </xf>
    <xf numFmtId="9" fontId="0" fillId="0" borderId="10" xfId="57" applyFont="1" applyBorder="1" applyAlignment="1">
      <alignment horizontal="center"/>
    </xf>
    <xf numFmtId="9" fontId="0" fillId="0" borderId="0" xfId="57" applyFont="1" applyAlignment="1">
      <alignment horizontal="right"/>
    </xf>
    <xf numFmtId="9" fontId="40" fillId="17" borderId="0" xfId="57" applyFont="1" applyFill="1" applyAlignment="1">
      <alignment horizontal="right"/>
    </xf>
    <xf numFmtId="9" fontId="40" fillId="0" borderId="0" xfId="57" applyFont="1" applyAlignment="1">
      <alignment horizontal="right"/>
    </xf>
    <xf numFmtId="42" fontId="41" fillId="0" borderId="0" xfId="44" applyNumberFormat="1" applyFont="1" applyAlignment="1">
      <alignment horizontal="right"/>
    </xf>
    <xf numFmtId="0" fontId="46" fillId="0" borderId="0" xfId="0" applyFont="1" applyAlignment="1">
      <alignment horizontal="center"/>
    </xf>
    <xf numFmtId="42" fontId="0" fillId="0" borderId="0" xfId="0" applyNumberFormat="1" applyAlignment="1">
      <alignment/>
    </xf>
    <xf numFmtId="42" fontId="0" fillId="0" borderId="12" xfId="0" applyNumberFormat="1" applyBorder="1" applyAlignment="1">
      <alignment/>
    </xf>
    <xf numFmtId="167" fontId="0" fillId="0" borderId="0" xfId="57" applyNumberFormat="1" applyFont="1" applyAlignment="1">
      <alignment/>
    </xf>
    <xf numFmtId="167" fontId="0" fillId="10" borderId="0" xfId="57" applyNumberFormat="1" applyFont="1" applyFill="1" applyAlignment="1">
      <alignment/>
    </xf>
    <xf numFmtId="167" fontId="43" fillId="0" borderId="0" xfId="0" applyNumberFormat="1" applyFont="1" applyAlignment="1">
      <alignment/>
    </xf>
    <xf numFmtId="167" fontId="0" fillId="0" borderId="0" xfId="0" applyNumberFormat="1" applyAlignment="1">
      <alignment horizontal="right"/>
    </xf>
    <xf numFmtId="167" fontId="0" fillId="0" borderId="0" xfId="0" applyNumberFormat="1" applyAlignment="1">
      <alignment/>
    </xf>
    <xf numFmtId="167" fontId="0" fillId="5" borderId="0" xfId="0" applyNumberFormat="1" applyFill="1" applyAlignment="1">
      <alignment/>
    </xf>
    <xf numFmtId="167" fontId="0" fillId="11" borderId="0" xfId="0" applyNumberFormat="1" applyFill="1" applyAlignment="1">
      <alignment/>
    </xf>
    <xf numFmtId="167" fontId="0" fillId="3" borderId="0" xfId="0" applyNumberFormat="1" applyFill="1" applyAlignment="1">
      <alignment/>
    </xf>
    <xf numFmtId="167" fontId="0" fillId="9" borderId="0" xfId="0" applyNumberFormat="1" applyFill="1" applyAlignment="1">
      <alignment/>
    </xf>
    <xf numFmtId="167" fontId="0" fillId="12" borderId="0" xfId="0" applyNumberFormat="1" applyFill="1" applyAlignment="1">
      <alignment/>
    </xf>
    <xf numFmtId="167" fontId="0" fillId="33" borderId="0" xfId="0" applyNumberFormat="1" applyFill="1" applyAlignment="1">
      <alignment/>
    </xf>
    <xf numFmtId="167" fontId="0" fillId="34" borderId="0" xfId="0" applyNumberFormat="1" applyFill="1" applyAlignment="1">
      <alignment/>
    </xf>
    <xf numFmtId="167" fontId="0" fillId="36" borderId="0" xfId="0" applyNumberFormat="1" applyFill="1" applyAlignment="1">
      <alignment/>
    </xf>
    <xf numFmtId="167" fontId="0" fillId="37" borderId="0" xfId="0" applyNumberFormat="1" applyFill="1" applyAlignment="1">
      <alignment/>
    </xf>
    <xf numFmtId="167" fontId="0" fillId="2" borderId="0" xfId="0" applyNumberFormat="1" applyFill="1" applyAlignment="1">
      <alignment/>
    </xf>
    <xf numFmtId="167" fontId="0" fillId="8" borderId="0" xfId="0" applyNumberFormat="1" applyFill="1" applyAlignment="1">
      <alignment/>
    </xf>
    <xf numFmtId="3" fontId="0" fillId="2" borderId="0" xfId="0" applyNumberFormat="1" applyFill="1" applyAlignment="1">
      <alignment/>
    </xf>
    <xf numFmtId="0" fontId="47" fillId="0" borderId="10" xfId="0" applyFont="1" applyFill="1" applyBorder="1" applyAlignment="1">
      <alignment horizontal="center" wrapText="1"/>
    </xf>
    <xf numFmtId="165" fontId="47" fillId="0" borderId="10" xfId="0" applyNumberFormat="1" applyFont="1" applyFill="1" applyBorder="1" applyAlignment="1">
      <alignment horizontal="center" wrapText="1"/>
    </xf>
    <xf numFmtId="0" fontId="0" fillId="9" borderId="13" xfId="0" applyFill="1" applyBorder="1" applyAlignment="1">
      <alignment horizontal="right"/>
    </xf>
    <xf numFmtId="10" fontId="0" fillId="9" borderId="14" xfId="44" applyNumberFormat="1" applyFont="1" applyFill="1" applyBorder="1" applyAlignment="1">
      <alignment horizontal="right"/>
    </xf>
    <xf numFmtId="0" fontId="0" fillId="9" borderId="15" xfId="0" applyFill="1" applyBorder="1" applyAlignment="1">
      <alignment horizontal="right"/>
    </xf>
    <xf numFmtId="10" fontId="0" fillId="9" borderId="16" xfId="44" applyNumberFormat="1" applyFont="1" applyFill="1" applyBorder="1" applyAlignment="1">
      <alignment horizontal="right"/>
    </xf>
    <xf numFmtId="0" fontId="0" fillId="9" borderId="17" xfId="0" applyFill="1" applyBorder="1" applyAlignment="1">
      <alignment horizontal="right"/>
    </xf>
    <xf numFmtId="10" fontId="0" fillId="38" borderId="18" xfId="44" applyNumberFormat="1" applyFont="1" applyFill="1" applyBorder="1" applyAlignment="1">
      <alignment horizontal="right"/>
    </xf>
    <xf numFmtId="0" fontId="0" fillId="9" borderId="15" xfId="0" applyFill="1" applyBorder="1" applyAlignment="1">
      <alignment/>
    </xf>
    <xf numFmtId="164" fontId="0" fillId="9" borderId="0" xfId="42" applyNumberFormat="1" applyFont="1" applyFill="1" applyBorder="1" applyAlignment="1">
      <alignment horizontal="right"/>
    </xf>
    <xf numFmtId="165" fontId="0" fillId="9" borderId="16" xfId="0" applyNumberFormat="1" applyFill="1" applyBorder="1" applyAlignment="1">
      <alignment/>
    </xf>
    <xf numFmtId="0" fontId="0" fillId="9" borderId="17" xfId="0" applyFill="1" applyBorder="1" applyAlignment="1">
      <alignment/>
    </xf>
    <xf numFmtId="164" fontId="0" fillId="9" borderId="19" xfId="42" applyNumberFormat="1" applyFont="1" applyFill="1" applyBorder="1" applyAlignment="1">
      <alignment horizontal="right"/>
    </xf>
    <xf numFmtId="165" fontId="0" fillId="9" borderId="18" xfId="0" applyNumberFormat="1" applyFill="1" applyBorder="1" applyAlignment="1">
      <alignment/>
    </xf>
    <xf numFmtId="3" fontId="40" fillId="0" borderId="12" xfId="0" applyNumberFormat="1" applyFont="1" applyBorder="1" applyAlignment="1">
      <alignment/>
    </xf>
    <xf numFmtId="3" fontId="40" fillId="0" borderId="0" xfId="0" applyNumberFormat="1" applyFont="1" applyAlignment="1">
      <alignment/>
    </xf>
    <xf numFmtId="3" fontId="40" fillId="10" borderId="0" xfId="0" applyNumberFormat="1" applyFont="1" applyFill="1" applyAlignment="1">
      <alignment/>
    </xf>
    <xf numFmtId="3" fontId="40" fillId="8" borderId="0" xfId="0" applyNumberFormat="1" applyFont="1" applyFill="1" applyAlignment="1">
      <alignment/>
    </xf>
    <xf numFmtId="3" fontId="40" fillId="5" borderId="0" xfId="0" applyNumberFormat="1" applyFont="1" applyFill="1" applyAlignment="1">
      <alignment/>
    </xf>
    <xf numFmtId="3" fontId="40" fillId="11" borderId="0" xfId="0" applyNumberFormat="1" applyFont="1" applyFill="1" applyAlignment="1">
      <alignment/>
    </xf>
    <xf numFmtId="3" fontId="40" fillId="3" borderId="0" xfId="0" applyNumberFormat="1" applyFont="1" applyFill="1" applyAlignment="1">
      <alignment/>
    </xf>
    <xf numFmtId="3" fontId="40" fillId="9" borderId="0" xfId="0" applyNumberFormat="1" applyFont="1" applyFill="1" applyAlignment="1">
      <alignment/>
    </xf>
    <xf numFmtId="3" fontId="40" fillId="33" borderId="0" xfId="0" applyNumberFormat="1" applyFont="1" applyFill="1" applyAlignment="1">
      <alignment/>
    </xf>
    <xf numFmtId="3" fontId="40" fillId="34" borderId="0" xfId="0" applyNumberFormat="1" applyFont="1" applyFill="1" applyAlignment="1">
      <alignment/>
    </xf>
    <xf numFmtId="3" fontId="40" fillId="36" borderId="0" xfId="0" applyNumberFormat="1" applyFont="1" applyFill="1" applyAlignment="1">
      <alignment/>
    </xf>
    <xf numFmtId="3" fontId="40" fillId="37" borderId="0" xfId="0" applyNumberFormat="1" applyFont="1" applyFill="1" applyAlignment="1">
      <alignment/>
    </xf>
    <xf numFmtId="3" fontId="40" fillId="6" borderId="0" xfId="0" applyNumberFormat="1" applyFont="1" applyFill="1" applyAlignment="1">
      <alignment/>
    </xf>
    <xf numFmtId="3" fontId="40" fillId="12" borderId="0" xfId="0" applyNumberFormat="1" applyFont="1" applyFill="1" applyAlignment="1">
      <alignment/>
    </xf>
    <xf numFmtId="3" fontId="40" fillId="0" borderId="12" xfId="0" applyNumberFormat="1" applyFont="1" applyFill="1" applyBorder="1" applyAlignment="1">
      <alignment/>
    </xf>
    <xf numFmtId="0" fontId="0" fillId="6" borderId="19" xfId="0" applyFill="1" applyBorder="1" applyAlignment="1">
      <alignment/>
    </xf>
    <xf numFmtId="0" fontId="0" fillId="12" borderId="19" xfId="0" applyFill="1" applyBorder="1" applyAlignment="1">
      <alignment/>
    </xf>
    <xf numFmtId="0" fontId="40" fillId="0" borderId="0" xfId="0" applyFont="1" applyBorder="1" applyAlignment="1">
      <alignment wrapText="1"/>
    </xf>
    <xf numFmtId="0" fontId="0" fillId="0" borderId="0" xfId="0" applyAlignment="1">
      <alignment vertical="top"/>
    </xf>
    <xf numFmtId="0" fontId="0" fillId="0" borderId="0" xfId="0" applyNumberFormat="1" applyAlignment="1">
      <alignment vertical="top" wrapText="1"/>
    </xf>
    <xf numFmtId="0" fontId="48" fillId="0" borderId="0" xfId="0" applyNumberFormat="1" applyFont="1" applyAlignment="1">
      <alignment horizontal="left" vertical="top" wrapText="1"/>
    </xf>
    <xf numFmtId="0" fontId="40" fillId="0" borderId="20" xfId="0" applyFont="1" applyBorder="1" applyAlignment="1">
      <alignment horizontal="center" wrapText="1"/>
    </xf>
    <xf numFmtId="0" fontId="40" fillId="0" borderId="21" xfId="0" applyFont="1" applyBorder="1" applyAlignment="1">
      <alignment horizontal="center" wrapText="1"/>
    </xf>
    <xf numFmtId="0" fontId="40" fillId="0" borderId="22" xfId="0" applyFont="1" applyBorder="1" applyAlignment="1">
      <alignment horizontal="center"/>
    </xf>
    <xf numFmtId="0" fontId="40" fillId="0" borderId="23" xfId="0" applyFont="1" applyBorder="1" applyAlignment="1">
      <alignment horizontal="center"/>
    </xf>
    <xf numFmtId="0" fontId="40" fillId="0" borderId="11" xfId="0" applyFont="1" applyBorder="1" applyAlignment="1">
      <alignment horizontal="center"/>
    </xf>
    <xf numFmtId="0" fontId="40" fillId="0" borderId="22" xfId="0" applyFont="1" applyBorder="1" applyAlignment="1">
      <alignment horizontal="center" wrapText="1"/>
    </xf>
    <xf numFmtId="0" fontId="40" fillId="0" borderId="23" xfId="0" applyFont="1" applyBorder="1" applyAlignment="1">
      <alignment horizontal="center" wrapText="1"/>
    </xf>
    <xf numFmtId="0" fontId="47" fillId="0" borderId="10" xfId="0" applyFont="1" applyFill="1" applyBorder="1" applyAlignment="1">
      <alignment horizontal="center" vertical="center" wrapText="1"/>
    </xf>
    <xf numFmtId="10" fontId="47" fillId="0" borderId="10" xfId="44" applyNumberFormat="1" applyFont="1" applyFill="1" applyBorder="1" applyAlignment="1">
      <alignment horizontal="center" vertical="center" wrapText="1"/>
    </xf>
    <xf numFmtId="42" fontId="47" fillId="0" borderId="10" xfId="44" applyNumberFormat="1"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0" fillId="0" borderId="10" xfId="0" applyFont="1" applyFill="1" applyBorder="1" applyAlignment="1">
      <alignment horizontal="center" wrapText="1"/>
    </xf>
    <xf numFmtId="0" fontId="40" fillId="0" borderId="10" xfId="0" applyFont="1" applyFill="1" applyBorder="1" applyAlignment="1">
      <alignment horizont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44" fillId="0" borderId="22"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23" xfId="0" applyFont="1" applyBorder="1" applyAlignment="1">
      <alignment horizontal="center" vertical="center" wrapText="1"/>
    </xf>
    <xf numFmtId="0" fontId="0" fillId="9" borderId="13" xfId="0" applyFill="1" applyBorder="1" applyAlignment="1">
      <alignment horizontal="right"/>
    </xf>
    <xf numFmtId="0" fontId="0" fillId="9" borderId="24" xfId="0" applyFill="1" applyBorder="1" applyAlignment="1">
      <alignment horizontal="right"/>
    </xf>
    <xf numFmtId="0" fontId="0" fillId="9" borderId="14" xfId="0" applyFill="1" applyBorder="1" applyAlignment="1">
      <alignment horizontal="right"/>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81"/>
  <sheetViews>
    <sheetView zoomScale="90" zoomScaleNormal="90" zoomScalePageLayoutView="0" workbookViewId="0" topLeftCell="A58">
      <pane xSplit="4" topLeftCell="E1" activePane="topRight" state="frozen"/>
      <selection pane="topLeft" activeCell="A1" sqref="A1"/>
      <selection pane="topRight" activeCell="B75" sqref="B75:H77"/>
    </sheetView>
  </sheetViews>
  <sheetFormatPr defaultColWidth="9.140625" defaultRowHeight="15"/>
  <cols>
    <col min="1" max="1" width="3.421875" style="2" customWidth="1"/>
    <col min="2" max="2" width="22.57421875" style="0" customWidth="1"/>
    <col min="3" max="15" width="9.7109375" style="0" customWidth="1"/>
  </cols>
  <sheetData>
    <row r="1" spans="5:6" ht="15">
      <c r="E1" s="5" t="s">
        <v>55</v>
      </c>
      <c r="F1" s="5"/>
    </row>
    <row r="2" spans="5:6" ht="15">
      <c r="E2" s="4" t="s">
        <v>56</v>
      </c>
      <c r="F2" s="4"/>
    </row>
    <row r="3" spans="5:6" ht="15">
      <c r="E3" s="4" t="s">
        <v>57</v>
      </c>
      <c r="F3" s="4"/>
    </row>
    <row r="4" spans="10:15" ht="14.25" customHeight="1">
      <c r="J4" s="136"/>
      <c r="K4" s="136"/>
      <c r="N4" s="140" t="s">
        <v>72</v>
      </c>
      <c r="O4" s="140" t="s">
        <v>77</v>
      </c>
    </row>
    <row r="5" spans="1:15" s="6" customFormat="1" ht="15">
      <c r="A5" s="20" t="s">
        <v>50</v>
      </c>
      <c r="C5" s="6" t="s">
        <v>76</v>
      </c>
      <c r="D5" s="8" t="s">
        <v>51</v>
      </c>
      <c r="E5" s="11" t="s">
        <v>52</v>
      </c>
      <c r="F5" s="142" t="s">
        <v>53</v>
      </c>
      <c r="G5" s="143"/>
      <c r="H5" s="142" t="s">
        <v>66</v>
      </c>
      <c r="I5" s="144"/>
      <c r="J5" s="145" t="s">
        <v>160</v>
      </c>
      <c r="K5" s="146"/>
      <c r="L5" s="144" t="s">
        <v>73</v>
      </c>
      <c r="M5" s="144"/>
      <c r="N5" s="141"/>
      <c r="O5" s="141"/>
    </row>
    <row r="6" spans="1:15" ht="15">
      <c r="A6" s="2" t="s">
        <v>54</v>
      </c>
      <c r="D6" s="24" t="s">
        <v>58</v>
      </c>
      <c r="E6" s="25" t="s">
        <v>59</v>
      </c>
      <c r="F6" s="26" t="s">
        <v>61</v>
      </c>
      <c r="G6" s="27" t="s">
        <v>60</v>
      </c>
      <c r="H6" s="28" t="s">
        <v>67</v>
      </c>
      <c r="I6" s="29" t="s">
        <v>69</v>
      </c>
      <c r="J6" s="134" t="s">
        <v>62</v>
      </c>
      <c r="K6" s="135" t="s">
        <v>68</v>
      </c>
      <c r="L6" s="30" t="s">
        <v>64</v>
      </c>
      <c r="M6" s="31" t="s">
        <v>63</v>
      </c>
      <c r="N6" s="32" t="s">
        <v>59</v>
      </c>
      <c r="O6" s="33"/>
    </row>
    <row r="7" spans="1:15" ht="15">
      <c r="A7" s="2" t="s">
        <v>49</v>
      </c>
      <c r="D7" s="9"/>
      <c r="E7" s="12"/>
      <c r="F7" s="13"/>
      <c r="G7" s="14"/>
      <c r="H7" s="10"/>
      <c r="I7" s="15"/>
      <c r="J7" s="16"/>
      <c r="K7" s="17"/>
      <c r="L7" s="18"/>
      <c r="M7" s="19"/>
      <c r="N7" s="22"/>
      <c r="O7" s="23"/>
    </row>
    <row r="8" spans="2:15" ht="15">
      <c r="B8" t="s">
        <v>48</v>
      </c>
      <c r="C8" s="7">
        <f>SUM(D8:M8)</f>
        <v>3315000</v>
      </c>
      <c r="D8" s="9"/>
      <c r="E8" s="12"/>
      <c r="F8" s="13">
        <v>675000</v>
      </c>
      <c r="G8" s="14">
        <v>540000</v>
      </c>
      <c r="H8" s="10"/>
      <c r="I8" s="15"/>
      <c r="J8" s="16"/>
      <c r="K8" s="17"/>
      <c r="L8" s="18">
        <v>850000</v>
      </c>
      <c r="M8" s="19">
        <v>1250000</v>
      </c>
      <c r="N8" s="22"/>
      <c r="O8" s="23"/>
    </row>
    <row r="9" spans="2:15" ht="15">
      <c r="B9" t="s">
        <v>65</v>
      </c>
      <c r="C9" s="7">
        <f>SUM(D9:M9)</f>
        <v>1580000</v>
      </c>
      <c r="D9" s="9">
        <v>350000</v>
      </c>
      <c r="E9" s="12">
        <v>1230000</v>
      </c>
      <c r="F9" s="13"/>
      <c r="G9" s="14"/>
      <c r="H9" s="10"/>
      <c r="I9" s="15"/>
      <c r="J9" s="16"/>
      <c r="K9" s="17"/>
      <c r="L9" s="18"/>
      <c r="M9" s="19"/>
      <c r="N9" s="22"/>
      <c r="O9" s="23"/>
    </row>
    <row r="10" spans="2:15" ht="15">
      <c r="B10" t="s">
        <v>47</v>
      </c>
      <c r="C10" s="7">
        <f>SUM(D10:M10)</f>
        <v>60000</v>
      </c>
      <c r="D10" s="9"/>
      <c r="E10" s="12"/>
      <c r="F10" s="13"/>
      <c r="G10" s="14"/>
      <c r="H10" s="10">
        <v>45000</v>
      </c>
      <c r="I10" s="15">
        <v>15000</v>
      </c>
      <c r="J10" s="16"/>
      <c r="K10" s="17"/>
      <c r="L10" s="18"/>
      <c r="M10" s="19"/>
      <c r="N10" s="22"/>
      <c r="O10" s="23"/>
    </row>
    <row r="11" spans="2:15" ht="15">
      <c r="B11" t="s">
        <v>46</v>
      </c>
      <c r="C11" s="7">
        <f>SUM(D11:M11)</f>
        <v>20000</v>
      </c>
      <c r="D11" s="9"/>
      <c r="E11" s="12"/>
      <c r="F11" s="13"/>
      <c r="G11" s="14"/>
      <c r="H11" s="10"/>
      <c r="I11" s="15"/>
      <c r="J11" s="16">
        <v>5000</v>
      </c>
      <c r="K11" s="17">
        <v>15000</v>
      </c>
      <c r="L11" s="18"/>
      <c r="M11" s="19"/>
      <c r="N11" s="22"/>
      <c r="O11" s="23"/>
    </row>
    <row r="12" spans="2:15" ht="15">
      <c r="B12" t="s">
        <v>145</v>
      </c>
      <c r="C12" s="7"/>
      <c r="D12" s="9"/>
      <c r="E12" s="12"/>
      <c r="F12" s="13"/>
      <c r="G12" s="14"/>
      <c r="H12" s="10"/>
      <c r="I12" s="15"/>
      <c r="J12" s="16"/>
      <c r="K12" s="17"/>
      <c r="L12" s="18"/>
      <c r="M12" s="19"/>
      <c r="N12" s="22"/>
      <c r="O12" s="23">
        <f>C18</f>
        <v>131362.85884852044</v>
      </c>
    </row>
    <row r="13" spans="2:15" ht="15">
      <c r="B13" t="s">
        <v>70</v>
      </c>
      <c r="C13" s="7">
        <f>SUM(D13:N13)</f>
        <v>17000</v>
      </c>
      <c r="D13" s="9"/>
      <c r="E13" s="12"/>
      <c r="F13" s="13"/>
      <c r="G13" s="14"/>
      <c r="H13" s="10"/>
      <c r="I13" s="15"/>
      <c r="J13" s="16"/>
      <c r="K13" s="17"/>
      <c r="L13" s="18"/>
      <c r="M13" s="19"/>
      <c r="N13" s="22">
        <v>17000</v>
      </c>
      <c r="O13" s="23"/>
    </row>
    <row r="14" spans="2:15" ht="15.75" thickBot="1">
      <c r="B14" s="6" t="s">
        <v>71</v>
      </c>
      <c r="C14" s="119">
        <f>SUM(C8:C13)</f>
        <v>4992000</v>
      </c>
      <c r="D14" s="133"/>
      <c r="E14" s="133">
        <f>SUM(D8:E13)</f>
        <v>1580000</v>
      </c>
      <c r="F14" s="133"/>
      <c r="G14" s="133">
        <f>SUM(F8:G13)</f>
        <v>1215000</v>
      </c>
      <c r="H14" s="133"/>
      <c r="I14" s="133">
        <f>SUM(H8:I13)</f>
        <v>60000</v>
      </c>
      <c r="J14" s="133"/>
      <c r="K14" s="133">
        <f>SUM(J8:K13)</f>
        <v>20000</v>
      </c>
      <c r="L14" s="133"/>
      <c r="M14" s="133">
        <f>SUM(L8:M13)</f>
        <v>2100000</v>
      </c>
      <c r="N14" s="133">
        <f>SUM(N8:N13)</f>
        <v>17000</v>
      </c>
      <c r="O14" s="133">
        <f>SUM(O8:O13)</f>
        <v>131362.85884852044</v>
      </c>
    </row>
    <row r="15" spans="1:16" ht="15.75" thickTop="1">
      <c r="A15" s="2" t="s">
        <v>45</v>
      </c>
      <c r="C15" s="120">
        <f aca="true" t="shared" si="0" ref="C15:O15">C16+C17+C18+C20+C26+C31+C35+C45+C51+C56+C61+C66</f>
        <v>1328501.6388485203</v>
      </c>
      <c r="D15" s="120">
        <f t="shared" si="0"/>
        <v>139834.74680000002</v>
      </c>
      <c r="E15" s="120">
        <f t="shared" si="0"/>
        <v>64570.860943165804</v>
      </c>
      <c r="F15" s="120">
        <f t="shared" si="0"/>
        <v>156327.01670150305</v>
      </c>
      <c r="G15" s="120">
        <f t="shared" si="0"/>
        <v>278208.5167015031</v>
      </c>
      <c r="H15" s="120">
        <f t="shared" si="0"/>
        <v>2639.4943016674497</v>
      </c>
      <c r="I15" s="120">
        <f t="shared" si="0"/>
        <v>879.8314338891498</v>
      </c>
      <c r="J15" s="120">
        <f t="shared" si="0"/>
        <v>879.8314338891498</v>
      </c>
      <c r="K15" s="120">
        <f t="shared" si="0"/>
        <v>2639.4943016674497</v>
      </c>
      <c r="L15" s="120">
        <f t="shared" si="0"/>
        <v>190341.07479500136</v>
      </c>
      <c r="M15" s="120">
        <f t="shared" si="0"/>
        <v>491830.771436234</v>
      </c>
      <c r="N15" s="120">
        <f t="shared" si="0"/>
        <v>0</v>
      </c>
      <c r="O15" s="120">
        <f t="shared" si="0"/>
        <v>219091</v>
      </c>
      <c r="P15" s="34"/>
    </row>
    <row r="16" spans="1:15" ht="17.25">
      <c r="A16" s="3" t="s">
        <v>0</v>
      </c>
      <c r="C16" s="120">
        <f>SUM(D16:M16)</f>
        <v>340640</v>
      </c>
      <c r="D16" s="121">
        <f>'Hourly and Annual'!L20</f>
        <v>30878.4</v>
      </c>
      <c r="E16" s="122">
        <f>'Hourly and Annual'!N20</f>
        <v>11856</v>
      </c>
      <c r="F16" s="123">
        <f>0.5*'Hourly and Annual'!P20</f>
        <v>63577.5</v>
      </c>
      <c r="G16" s="124">
        <f>0.5*'Hourly and Annual'!P20</f>
        <v>63577.5</v>
      </c>
      <c r="H16" s="125">
        <f>0.75*'Hourly and Annual'!R20</f>
        <v>1989</v>
      </c>
      <c r="I16" s="126">
        <f>0.25*'Hourly and Annual'!R20</f>
        <v>663</v>
      </c>
      <c r="J16" s="131">
        <f>0.25*'Hourly and Annual'!T20</f>
        <v>663</v>
      </c>
      <c r="K16" s="132">
        <f>0.75*'Hourly and Annual'!T20</f>
        <v>1989</v>
      </c>
      <c r="L16" s="127">
        <f>0.333*'Hourly and Annual'!V20</f>
        <v>55093.717800000006</v>
      </c>
      <c r="M16" s="128">
        <f>0.667*'Hourly and Annual'!V20</f>
        <v>110352.88220000001</v>
      </c>
      <c r="N16" s="129"/>
      <c r="O16" s="130">
        <f>'Hourly and Annual'!J20</f>
        <v>188407</v>
      </c>
    </row>
    <row r="17" spans="1:15" ht="17.25">
      <c r="A17" s="3" t="s">
        <v>144</v>
      </c>
      <c r="C17" s="120">
        <f>SUM(D17:M17)</f>
        <v>118132.5</v>
      </c>
      <c r="D17" s="121">
        <f>'Hourly and Annual'!L22</f>
        <v>4972</v>
      </c>
      <c r="E17" s="122">
        <f>'Hourly and Annual'!N20</f>
        <v>11856</v>
      </c>
      <c r="F17" s="123">
        <f>0.5*'Hourly and Annual'!P22</f>
        <v>10236</v>
      </c>
      <c r="G17" s="124">
        <f>0.5*'Hourly and Annual'!P20</f>
        <v>63577.5</v>
      </c>
      <c r="H17" s="125">
        <f>0.75*'Hourly and Annual'!R22</f>
        <v>320.25</v>
      </c>
      <c r="I17" s="126">
        <f>0.25*'Hourly and Annual'!R22</f>
        <v>106.75</v>
      </c>
      <c r="J17" s="131">
        <f>0.25*'Hourly and Annual'!T22</f>
        <v>106.75</v>
      </c>
      <c r="K17" s="132">
        <f>0.75*'Hourly and Annual'!T22</f>
        <v>320.25</v>
      </c>
      <c r="L17" s="127">
        <f>0.333*'Hourly and Annual'!V22</f>
        <v>8870.121000000001</v>
      </c>
      <c r="M17" s="128">
        <f>0.667*'Hourly and Annual'!V22</f>
        <v>17766.879</v>
      </c>
      <c r="N17" s="129"/>
      <c r="O17" s="130">
        <f>'Hourly and Annual'!J22</f>
        <v>30334</v>
      </c>
    </row>
    <row r="18" spans="1:15" ht="17.25">
      <c r="A18" s="3" t="s">
        <v>78</v>
      </c>
      <c r="C18" s="120">
        <f>SUM(D18:M18)</f>
        <v>131362.85884852044</v>
      </c>
      <c r="D18" s="121">
        <f>D19*D16</f>
        <v>3087.84</v>
      </c>
      <c r="E18" s="121">
        <f aca="true" t="shared" si="1" ref="E18:O18">E19*E16</f>
        <v>412.6489431658056</v>
      </c>
      <c r="F18" s="121">
        <f t="shared" si="1"/>
        <v>23732.37732650305</v>
      </c>
      <c r="G18" s="121">
        <f t="shared" si="1"/>
        <v>23732.37732650305</v>
      </c>
      <c r="H18" s="121">
        <f t="shared" si="1"/>
        <v>15.485051667449506</v>
      </c>
      <c r="I18" s="121">
        <f t="shared" si="1"/>
        <v>5.161683889149836</v>
      </c>
      <c r="J18" s="121">
        <f t="shared" si="1"/>
        <v>5.161683889149836</v>
      </c>
      <c r="K18" s="121">
        <f t="shared" si="1"/>
        <v>15.485051667449506</v>
      </c>
      <c r="L18" s="121">
        <f t="shared" si="1"/>
        <v>26758.65515315137</v>
      </c>
      <c r="M18" s="121">
        <f t="shared" si="1"/>
        <v>53597.66662808397</v>
      </c>
      <c r="N18" s="121">
        <f t="shared" si="1"/>
        <v>0</v>
      </c>
      <c r="O18" s="121">
        <f t="shared" si="1"/>
        <v>0</v>
      </c>
    </row>
    <row r="19" spans="1:15" s="92" customFormat="1" ht="17.25">
      <c r="A19" s="90"/>
      <c r="B19" s="91" t="s">
        <v>148</v>
      </c>
      <c r="D19" s="89">
        <f>'Hourly and Annual'!L25</f>
        <v>0.1</v>
      </c>
      <c r="E19" s="103">
        <f>'Hourly and Annual'!N25</f>
        <v>0.0348050728041334</v>
      </c>
      <c r="F19" s="93">
        <f>'Hourly and Annual'!P25</f>
        <v>0.37328264443400655</v>
      </c>
      <c r="G19" s="94">
        <f>F19</f>
        <v>0.37328264443400655</v>
      </c>
      <c r="H19" s="95">
        <f>'Hourly and Annual'!R25</f>
        <v>0.0077853452325035225</v>
      </c>
      <c r="I19" s="96">
        <f>H19</f>
        <v>0.0077853452325035225</v>
      </c>
      <c r="J19" s="102">
        <f>'Hourly and Annual'!T25</f>
        <v>0.0077853452325035225</v>
      </c>
      <c r="K19" s="97">
        <f>J19</f>
        <v>0.0077853452325035225</v>
      </c>
      <c r="L19" s="98">
        <f>'Hourly and Annual'!V25</f>
        <v>0.48569340065758576</v>
      </c>
      <c r="M19" s="99">
        <f>L19</f>
        <v>0.48569340065758576</v>
      </c>
      <c r="N19" s="100"/>
      <c r="O19" s="101"/>
    </row>
    <row r="20" spans="1:15" ht="17.25">
      <c r="A20" s="3" t="s">
        <v>74</v>
      </c>
      <c r="C20" s="120">
        <f aca="true" t="shared" si="2" ref="C20:O20">SUM(C21:C25)</f>
        <v>53906.28</v>
      </c>
      <c r="D20" s="120">
        <f t="shared" si="2"/>
        <v>4886.5068</v>
      </c>
      <c r="E20" s="120">
        <f t="shared" si="2"/>
        <v>1876.212</v>
      </c>
      <c r="F20" s="120">
        <f t="shared" si="2"/>
        <v>10061.139375</v>
      </c>
      <c r="G20" s="120">
        <f t="shared" si="2"/>
        <v>10061.139375</v>
      </c>
      <c r="H20" s="120">
        <f t="shared" si="2"/>
        <v>314.75924999999995</v>
      </c>
      <c r="I20" s="120">
        <f t="shared" si="2"/>
        <v>104.91975000000001</v>
      </c>
      <c r="J20" s="120">
        <f t="shared" si="2"/>
        <v>104.91975000000001</v>
      </c>
      <c r="K20" s="120">
        <f t="shared" si="2"/>
        <v>314.75924999999995</v>
      </c>
      <c r="L20" s="120">
        <f t="shared" si="2"/>
        <v>8718.580841850002</v>
      </c>
      <c r="M20" s="120">
        <f t="shared" si="2"/>
        <v>17463.34360815</v>
      </c>
      <c r="N20" s="120">
        <f t="shared" si="2"/>
        <v>0</v>
      </c>
      <c r="O20" s="120">
        <f t="shared" si="2"/>
        <v>0</v>
      </c>
    </row>
    <row r="21" spans="2:15" ht="16.5">
      <c r="B21" s="1" t="s">
        <v>2</v>
      </c>
      <c r="C21" s="7">
        <f>SUM(D21:M21)</f>
        <v>19586.800000000003</v>
      </c>
      <c r="D21" s="9">
        <f>0.0575*D16</f>
        <v>1775.5080000000003</v>
      </c>
      <c r="E21" s="12">
        <f aca="true" t="shared" si="3" ref="E21:M21">0.0575*E16</f>
        <v>681.72</v>
      </c>
      <c r="F21" s="13">
        <f t="shared" si="3"/>
        <v>3655.70625</v>
      </c>
      <c r="G21" s="14">
        <f t="shared" si="3"/>
        <v>3655.70625</v>
      </c>
      <c r="H21" s="10">
        <f t="shared" si="3"/>
        <v>114.3675</v>
      </c>
      <c r="I21" s="15">
        <f t="shared" si="3"/>
        <v>38.1225</v>
      </c>
      <c r="J21" s="104">
        <f t="shared" si="3"/>
        <v>38.1225</v>
      </c>
      <c r="K21" s="21">
        <f t="shared" si="3"/>
        <v>114.3675</v>
      </c>
      <c r="L21" s="18">
        <f t="shared" si="3"/>
        <v>3167.8887735000003</v>
      </c>
      <c r="M21" s="19">
        <f t="shared" si="3"/>
        <v>6345.2907265</v>
      </c>
      <c r="N21" s="22"/>
      <c r="O21" s="23"/>
    </row>
    <row r="22" spans="2:15" ht="16.5">
      <c r="B22" s="1" t="s">
        <v>3</v>
      </c>
      <c r="C22" s="7">
        <f>SUM(D22:M22)</f>
        <v>6301.839999999999</v>
      </c>
      <c r="D22" s="9">
        <f>0.0185*D16</f>
        <v>571.2504</v>
      </c>
      <c r="E22" s="12">
        <f aca="true" t="shared" si="4" ref="E22:M22">0.0185*E16</f>
        <v>219.33599999999998</v>
      </c>
      <c r="F22" s="13">
        <f t="shared" si="4"/>
        <v>1176.18375</v>
      </c>
      <c r="G22" s="14">
        <f t="shared" si="4"/>
        <v>1176.18375</v>
      </c>
      <c r="H22" s="10">
        <f t="shared" si="4"/>
        <v>36.796499999999995</v>
      </c>
      <c r="I22" s="15">
        <f t="shared" si="4"/>
        <v>12.2655</v>
      </c>
      <c r="J22" s="104">
        <f t="shared" si="4"/>
        <v>12.2655</v>
      </c>
      <c r="K22" s="21">
        <f t="shared" si="4"/>
        <v>36.796499999999995</v>
      </c>
      <c r="L22" s="18">
        <f t="shared" si="4"/>
        <v>1019.2337793</v>
      </c>
      <c r="M22" s="19">
        <f t="shared" si="4"/>
        <v>2041.5283207</v>
      </c>
      <c r="N22" s="22"/>
      <c r="O22" s="23"/>
    </row>
    <row r="23" spans="2:15" ht="16.5">
      <c r="B23" s="1" t="s">
        <v>4</v>
      </c>
      <c r="C23" s="7">
        <f>SUM(D23:M23)</f>
        <v>11070.800000000001</v>
      </c>
      <c r="D23" s="9">
        <f>0.0325*D16</f>
        <v>1003.5480000000001</v>
      </c>
      <c r="E23" s="12">
        <f aca="true" t="shared" si="5" ref="E23:M23">0.0325*E16</f>
        <v>385.32</v>
      </c>
      <c r="F23" s="13">
        <f t="shared" si="5"/>
        <v>2066.26875</v>
      </c>
      <c r="G23" s="14">
        <f t="shared" si="5"/>
        <v>2066.26875</v>
      </c>
      <c r="H23" s="10">
        <f t="shared" si="5"/>
        <v>64.6425</v>
      </c>
      <c r="I23" s="15">
        <f t="shared" si="5"/>
        <v>21.5475</v>
      </c>
      <c r="J23" s="104">
        <f t="shared" si="5"/>
        <v>21.5475</v>
      </c>
      <c r="K23" s="21">
        <f t="shared" si="5"/>
        <v>64.6425</v>
      </c>
      <c r="L23" s="18">
        <f t="shared" si="5"/>
        <v>1790.5458285000002</v>
      </c>
      <c r="M23" s="19">
        <f t="shared" si="5"/>
        <v>3586.4686715000003</v>
      </c>
      <c r="N23" s="22"/>
      <c r="O23" s="23"/>
    </row>
    <row r="24" spans="2:15" ht="16.5">
      <c r="B24" s="1" t="s">
        <v>1</v>
      </c>
      <c r="C24" s="7">
        <f>SUM(D24:M24)</f>
        <v>6727.640000000001</v>
      </c>
      <c r="D24" s="9">
        <f>0.01975*D16</f>
        <v>609.8484000000001</v>
      </c>
      <c r="E24" s="12">
        <f aca="true" t="shared" si="6" ref="E24:M24">0.01975*E16</f>
        <v>234.156</v>
      </c>
      <c r="F24" s="13">
        <f t="shared" si="6"/>
        <v>1255.655625</v>
      </c>
      <c r="G24" s="14">
        <f t="shared" si="6"/>
        <v>1255.655625</v>
      </c>
      <c r="H24" s="10">
        <f t="shared" si="6"/>
        <v>39.28275</v>
      </c>
      <c r="I24" s="15">
        <f t="shared" si="6"/>
        <v>13.09425</v>
      </c>
      <c r="J24" s="104">
        <f t="shared" si="6"/>
        <v>13.09425</v>
      </c>
      <c r="K24" s="21">
        <f t="shared" si="6"/>
        <v>39.28275</v>
      </c>
      <c r="L24" s="18">
        <f t="shared" si="6"/>
        <v>1088.1009265500002</v>
      </c>
      <c r="M24" s="19">
        <f t="shared" si="6"/>
        <v>2179.4694234500002</v>
      </c>
      <c r="N24" s="22"/>
      <c r="O24" s="23"/>
    </row>
    <row r="25" spans="2:15" ht="16.5">
      <c r="B25" s="1" t="s">
        <v>75</v>
      </c>
      <c r="C25" s="7">
        <f>SUM(D25:M25)</f>
        <v>10219.2</v>
      </c>
      <c r="D25" s="7">
        <f>0.03*D16</f>
        <v>926.352</v>
      </c>
      <c r="E25" s="12">
        <f aca="true" t="shared" si="7" ref="E25:M25">0.03*E16</f>
        <v>355.68</v>
      </c>
      <c r="F25" s="13">
        <f t="shared" si="7"/>
        <v>1907.3249999999998</v>
      </c>
      <c r="G25" s="14">
        <f t="shared" si="7"/>
        <v>1907.3249999999998</v>
      </c>
      <c r="H25" s="10">
        <f t="shared" si="7"/>
        <v>59.669999999999995</v>
      </c>
      <c r="I25" s="15">
        <f t="shared" si="7"/>
        <v>19.89</v>
      </c>
      <c r="J25" s="104">
        <f t="shared" si="7"/>
        <v>19.89</v>
      </c>
      <c r="K25" s="21">
        <f t="shared" si="7"/>
        <v>59.669999999999995</v>
      </c>
      <c r="L25" s="18">
        <f t="shared" si="7"/>
        <v>1652.8115340000002</v>
      </c>
      <c r="M25" s="19">
        <f t="shared" si="7"/>
        <v>3310.586466</v>
      </c>
      <c r="N25" s="22"/>
      <c r="O25" s="23"/>
    </row>
    <row r="26" spans="1:15" ht="17.25">
      <c r="A26" s="3" t="s">
        <v>5</v>
      </c>
      <c r="C26" s="120">
        <f aca="true" t="shared" si="8" ref="C26:O26">SUM(C27:C30)</f>
        <v>304500</v>
      </c>
      <c r="D26" s="120">
        <f t="shared" si="8"/>
        <v>34000</v>
      </c>
      <c r="E26" s="120">
        <f t="shared" si="8"/>
        <v>18000</v>
      </c>
      <c r="F26" s="120">
        <f t="shared" si="8"/>
        <v>12500</v>
      </c>
      <c r="G26" s="120">
        <f t="shared" si="8"/>
        <v>26000</v>
      </c>
      <c r="H26" s="120">
        <f t="shared" si="8"/>
        <v>0</v>
      </c>
      <c r="I26" s="120">
        <f t="shared" si="8"/>
        <v>0</v>
      </c>
      <c r="J26" s="120">
        <f t="shared" si="8"/>
        <v>0</v>
      </c>
      <c r="K26" s="120">
        <f t="shared" si="8"/>
        <v>0</v>
      </c>
      <c r="L26" s="120">
        <f t="shared" si="8"/>
        <v>62000</v>
      </c>
      <c r="M26" s="120">
        <f t="shared" si="8"/>
        <v>152000</v>
      </c>
      <c r="N26" s="120">
        <f t="shared" si="8"/>
        <v>0</v>
      </c>
      <c r="O26" s="120">
        <f t="shared" si="8"/>
        <v>0</v>
      </c>
    </row>
    <row r="27" spans="2:15" ht="16.5">
      <c r="B27" s="1" t="s">
        <v>6</v>
      </c>
      <c r="C27" s="7">
        <f>SUM(D27:M27)</f>
        <v>162500</v>
      </c>
      <c r="D27" s="9">
        <v>25000</v>
      </c>
      <c r="E27" s="12">
        <v>12500</v>
      </c>
      <c r="F27" s="13">
        <v>5000</v>
      </c>
      <c r="G27" s="14">
        <v>15000</v>
      </c>
      <c r="H27" s="10"/>
      <c r="I27" s="15"/>
      <c r="J27" s="16"/>
      <c r="K27" s="17"/>
      <c r="L27" s="18">
        <v>35000</v>
      </c>
      <c r="M27" s="19">
        <v>70000</v>
      </c>
      <c r="N27" s="22"/>
      <c r="O27" s="23"/>
    </row>
    <row r="28" spans="2:15" ht="16.5">
      <c r="B28" s="1" t="s">
        <v>7</v>
      </c>
      <c r="C28" s="7">
        <f>SUM(D28:M28)</f>
        <v>80000</v>
      </c>
      <c r="D28" s="9">
        <v>6000</v>
      </c>
      <c r="E28" s="12">
        <v>3500</v>
      </c>
      <c r="F28" s="13">
        <v>3500</v>
      </c>
      <c r="G28" s="14">
        <v>7000</v>
      </c>
      <c r="H28" s="10"/>
      <c r="I28" s="15"/>
      <c r="J28" s="16"/>
      <c r="K28" s="17"/>
      <c r="L28" s="18">
        <v>20000</v>
      </c>
      <c r="M28" s="19">
        <v>40000</v>
      </c>
      <c r="N28" s="22"/>
      <c r="O28" s="23"/>
    </row>
    <row r="29" spans="2:15" ht="16.5">
      <c r="B29" s="1" t="s">
        <v>8</v>
      </c>
      <c r="C29" s="7">
        <f>SUM(D29:M29)</f>
        <v>21000</v>
      </c>
      <c r="D29" s="9">
        <v>2000</v>
      </c>
      <c r="E29" s="12">
        <v>1000</v>
      </c>
      <c r="F29" s="13">
        <v>1500</v>
      </c>
      <c r="G29" s="14">
        <v>1500</v>
      </c>
      <c r="H29" s="10"/>
      <c r="I29" s="15"/>
      <c r="J29" s="16"/>
      <c r="K29" s="17"/>
      <c r="L29" s="18">
        <v>5000</v>
      </c>
      <c r="M29" s="19">
        <v>10000</v>
      </c>
      <c r="N29" s="22"/>
      <c r="O29" s="23"/>
    </row>
    <row r="30" spans="2:15" ht="16.5">
      <c r="B30" s="1" t="s">
        <v>9</v>
      </c>
      <c r="C30" s="7">
        <f>SUM(D30:M30)</f>
        <v>41000</v>
      </c>
      <c r="D30" s="9">
        <v>1000</v>
      </c>
      <c r="E30" s="12">
        <v>1000</v>
      </c>
      <c r="F30" s="13">
        <v>2500</v>
      </c>
      <c r="G30" s="14">
        <v>2500</v>
      </c>
      <c r="H30" s="10"/>
      <c r="I30" s="15"/>
      <c r="J30" s="16"/>
      <c r="K30" s="17"/>
      <c r="L30" s="18">
        <v>2000</v>
      </c>
      <c r="M30" s="19">
        <v>32000</v>
      </c>
      <c r="N30" s="22"/>
      <c r="O30" s="23"/>
    </row>
    <row r="31" spans="1:15" ht="17.25">
      <c r="A31" s="3" t="s">
        <v>10</v>
      </c>
      <c r="C31" s="120">
        <f>SUM(C32:C34)</f>
        <v>38040</v>
      </c>
      <c r="D31" s="120">
        <f aca="true" t="shared" si="9" ref="D31:O31">SUM(D32:D34)</f>
        <v>4440</v>
      </c>
      <c r="E31" s="120">
        <f t="shared" si="9"/>
        <v>8400</v>
      </c>
      <c r="F31" s="120">
        <f t="shared" si="9"/>
        <v>3900</v>
      </c>
      <c r="G31" s="120">
        <f t="shared" si="9"/>
        <v>3900</v>
      </c>
      <c r="H31" s="120">
        <f t="shared" si="9"/>
        <v>0</v>
      </c>
      <c r="I31" s="120">
        <f t="shared" si="9"/>
        <v>0</v>
      </c>
      <c r="J31" s="120">
        <f t="shared" si="9"/>
        <v>0</v>
      </c>
      <c r="K31" s="120">
        <f t="shared" si="9"/>
        <v>0</v>
      </c>
      <c r="L31" s="120">
        <f t="shared" si="9"/>
        <v>5800</v>
      </c>
      <c r="M31" s="120">
        <f t="shared" si="9"/>
        <v>11600</v>
      </c>
      <c r="N31" s="120">
        <f t="shared" si="9"/>
        <v>0</v>
      </c>
      <c r="O31" s="120">
        <f t="shared" si="9"/>
        <v>0</v>
      </c>
    </row>
    <row r="32" spans="2:15" ht="16.5">
      <c r="B32" s="1" t="s">
        <v>11</v>
      </c>
      <c r="C32" s="7">
        <f>SUM(D32:M32)</f>
        <v>15600</v>
      </c>
      <c r="D32" s="9">
        <v>2400</v>
      </c>
      <c r="E32" s="12">
        <v>3600</v>
      </c>
      <c r="F32" s="13">
        <v>1800</v>
      </c>
      <c r="G32" s="14">
        <v>1800</v>
      </c>
      <c r="H32" s="10"/>
      <c r="I32" s="15"/>
      <c r="J32" s="16"/>
      <c r="K32" s="17"/>
      <c r="L32" s="18">
        <v>2000</v>
      </c>
      <c r="M32" s="19">
        <v>4000</v>
      </c>
      <c r="N32" s="22"/>
      <c r="O32" s="23"/>
    </row>
    <row r="33" spans="2:15" ht="16.5">
      <c r="B33" s="1" t="s">
        <v>12</v>
      </c>
      <c r="C33" s="7">
        <f>SUM(D33:M33)</f>
        <v>5640</v>
      </c>
      <c r="D33" s="9">
        <v>240</v>
      </c>
      <c r="E33" s="12">
        <v>1200</v>
      </c>
      <c r="F33" s="13">
        <v>900</v>
      </c>
      <c r="G33" s="14">
        <v>900</v>
      </c>
      <c r="H33" s="10"/>
      <c r="I33" s="15"/>
      <c r="J33" s="16"/>
      <c r="K33" s="17"/>
      <c r="L33" s="18">
        <v>800</v>
      </c>
      <c r="M33" s="19">
        <v>1600</v>
      </c>
      <c r="N33" s="22"/>
      <c r="O33" s="23"/>
    </row>
    <row r="34" spans="2:15" ht="16.5">
      <c r="B34" s="1" t="s">
        <v>13</v>
      </c>
      <c r="C34" s="7">
        <f>SUM(D34:M34)</f>
        <v>16800</v>
      </c>
      <c r="D34" s="9">
        <v>1800</v>
      </c>
      <c r="E34" s="12">
        <v>3600</v>
      </c>
      <c r="F34" s="13">
        <v>1200</v>
      </c>
      <c r="G34" s="14">
        <v>1200</v>
      </c>
      <c r="H34" s="10"/>
      <c r="I34" s="15"/>
      <c r="J34" s="16"/>
      <c r="K34" s="17"/>
      <c r="L34" s="18">
        <v>3000</v>
      </c>
      <c r="M34" s="19">
        <v>6000</v>
      </c>
      <c r="N34" s="22"/>
      <c r="O34" s="23"/>
    </row>
    <row r="35" spans="1:15" ht="17.25">
      <c r="A35" s="3" t="s">
        <v>14</v>
      </c>
      <c r="C35" s="120">
        <f aca="true" t="shared" si="10" ref="C35:O35">SUM(C36:C38)</f>
        <v>195750</v>
      </c>
      <c r="D35" s="120">
        <f t="shared" si="10"/>
        <v>8500</v>
      </c>
      <c r="E35" s="120">
        <f t="shared" si="10"/>
        <v>1500</v>
      </c>
      <c r="F35" s="120">
        <f t="shared" si="10"/>
        <v>25500</v>
      </c>
      <c r="G35" s="120">
        <f t="shared" si="10"/>
        <v>75250</v>
      </c>
      <c r="H35" s="120">
        <f t="shared" si="10"/>
        <v>0</v>
      </c>
      <c r="I35" s="120">
        <f t="shared" si="10"/>
        <v>0</v>
      </c>
      <c r="J35" s="120">
        <f t="shared" si="10"/>
        <v>0</v>
      </c>
      <c r="K35" s="120">
        <f t="shared" si="10"/>
        <v>0</v>
      </c>
      <c r="L35" s="120">
        <f t="shared" si="10"/>
        <v>500</v>
      </c>
      <c r="M35" s="120">
        <f t="shared" si="10"/>
        <v>84500</v>
      </c>
      <c r="N35" s="120">
        <f t="shared" si="10"/>
        <v>0</v>
      </c>
      <c r="O35" s="120">
        <f t="shared" si="10"/>
        <v>0</v>
      </c>
    </row>
    <row r="36" spans="2:15" ht="16.5">
      <c r="B36" s="1" t="s">
        <v>15</v>
      </c>
      <c r="C36" s="7">
        <f>SUM(D36:M36)</f>
        <v>112500</v>
      </c>
      <c r="D36" s="9">
        <v>7500</v>
      </c>
      <c r="E36" s="12">
        <v>0</v>
      </c>
      <c r="F36" s="13">
        <v>25000</v>
      </c>
      <c r="G36" s="14">
        <v>0</v>
      </c>
      <c r="H36" s="10"/>
      <c r="I36" s="15"/>
      <c r="J36" s="16"/>
      <c r="K36" s="17"/>
      <c r="L36" s="18">
        <v>0</v>
      </c>
      <c r="M36" s="19">
        <v>80000</v>
      </c>
      <c r="N36" s="22"/>
      <c r="O36" s="23"/>
    </row>
    <row r="37" spans="2:15" ht="16.5">
      <c r="B37" s="1" t="s">
        <v>16</v>
      </c>
      <c r="C37" s="7">
        <f>SUM(D37:M37)</f>
        <v>8250</v>
      </c>
      <c r="D37" s="9">
        <v>1000</v>
      </c>
      <c r="E37" s="12">
        <v>1500</v>
      </c>
      <c r="F37" s="13">
        <v>500</v>
      </c>
      <c r="G37" s="14">
        <v>250</v>
      </c>
      <c r="H37" s="10"/>
      <c r="I37" s="15"/>
      <c r="J37" s="16"/>
      <c r="K37" s="17"/>
      <c r="L37" s="18">
        <v>500</v>
      </c>
      <c r="M37" s="19">
        <v>4500</v>
      </c>
      <c r="N37" s="22"/>
      <c r="O37" s="23"/>
    </row>
    <row r="38" spans="2:15" ht="16.5">
      <c r="B38" s="1" t="s">
        <v>79</v>
      </c>
      <c r="C38" s="7">
        <f>SUM(D38:M38)</f>
        <v>75000</v>
      </c>
      <c r="D38" s="9"/>
      <c r="E38" s="12"/>
      <c r="F38" s="13"/>
      <c r="G38" s="14">
        <v>75000</v>
      </c>
      <c r="H38" s="10"/>
      <c r="I38" s="15"/>
      <c r="J38" s="16"/>
      <c r="K38" s="17"/>
      <c r="L38" s="18"/>
      <c r="M38" s="19"/>
      <c r="N38" s="22"/>
      <c r="O38" s="23"/>
    </row>
    <row r="39" spans="1:15" ht="17.25">
      <c r="A39" s="3" t="s">
        <v>17</v>
      </c>
      <c r="C39" s="120">
        <f aca="true" t="shared" si="11" ref="C39:O39">SUM(C40:C44)</f>
        <v>44900</v>
      </c>
      <c r="D39" s="120">
        <f t="shared" si="11"/>
        <v>7000</v>
      </c>
      <c r="E39" s="120">
        <f t="shared" si="11"/>
        <v>8000</v>
      </c>
      <c r="F39" s="120">
        <f t="shared" si="11"/>
        <v>1500</v>
      </c>
      <c r="G39" s="120">
        <f t="shared" si="11"/>
        <v>5000</v>
      </c>
      <c r="H39" s="120">
        <f t="shared" si="11"/>
        <v>0</v>
      </c>
      <c r="I39" s="120">
        <f t="shared" si="11"/>
        <v>0</v>
      </c>
      <c r="J39" s="120">
        <f t="shared" si="11"/>
        <v>0</v>
      </c>
      <c r="K39" s="120">
        <f t="shared" si="11"/>
        <v>0</v>
      </c>
      <c r="L39" s="120">
        <f t="shared" si="11"/>
        <v>5800</v>
      </c>
      <c r="M39" s="120">
        <f t="shared" si="11"/>
        <v>17600</v>
      </c>
      <c r="N39" s="120">
        <f t="shared" si="11"/>
        <v>0</v>
      </c>
      <c r="O39" s="120">
        <f t="shared" si="11"/>
        <v>0</v>
      </c>
    </row>
    <row r="40" spans="2:15" ht="16.5">
      <c r="B40" s="1" t="s">
        <v>18</v>
      </c>
      <c r="C40" s="7">
        <f>SUM(D40:M40)</f>
        <v>7400</v>
      </c>
      <c r="D40" s="9">
        <v>1500</v>
      </c>
      <c r="E40" s="12">
        <v>2500</v>
      </c>
      <c r="F40" s="13">
        <v>500</v>
      </c>
      <c r="G40" s="14">
        <v>500</v>
      </c>
      <c r="H40" s="10"/>
      <c r="I40" s="15"/>
      <c r="J40" s="16"/>
      <c r="K40" s="17"/>
      <c r="L40" s="18">
        <v>800</v>
      </c>
      <c r="M40" s="19">
        <v>1600</v>
      </c>
      <c r="N40" s="22"/>
      <c r="O40" s="23"/>
    </row>
    <row r="41" spans="2:15" ht="16.5">
      <c r="B41" s="1" t="s">
        <v>19</v>
      </c>
      <c r="C41" s="7">
        <f>SUM(D41:M41)</f>
        <v>16500</v>
      </c>
      <c r="D41" s="9">
        <v>2000</v>
      </c>
      <c r="E41" s="12">
        <v>2000</v>
      </c>
      <c r="F41" s="13"/>
      <c r="G41" s="14">
        <v>3000</v>
      </c>
      <c r="H41" s="10"/>
      <c r="I41" s="15"/>
      <c r="J41" s="16"/>
      <c r="K41" s="17"/>
      <c r="L41" s="18">
        <v>2000</v>
      </c>
      <c r="M41" s="19">
        <v>7500</v>
      </c>
      <c r="N41" s="22"/>
      <c r="O41" s="23"/>
    </row>
    <row r="42" spans="2:15" ht="16.5">
      <c r="B42" s="1" t="s">
        <v>20</v>
      </c>
      <c r="C42" s="7">
        <f>SUM(D42:M42)</f>
        <v>5000</v>
      </c>
      <c r="D42" s="9">
        <v>1000</v>
      </c>
      <c r="E42" s="12">
        <v>1000</v>
      </c>
      <c r="F42" s="13"/>
      <c r="G42" s="14">
        <v>500</v>
      </c>
      <c r="H42" s="10"/>
      <c r="I42" s="15"/>
      <c r="J42" s="16"/>
      <c r="K42" s="17"/>
      <c r="L42" s="18"/>
      <c r="M42" s="19">
        <v>2500</v>
      </c>
      <c r="N42" s="22"/>
      <c r="O42" s="23"/>
    </row>
    <row r="43" spans="2:15" ht="16.5">
      <c r="B43" s="1" t="s">
        <v>21</v>
      </c>
      <c r="C43" s="7">
        <f>SUM(D43:M43)</f>
        <v>7000</v>
      </c>
      <c r="D43" s="9">
        <v>1500</v>
      </c>
      <c r="E43" s="12">
        <v>1500</v>
      </c>
      <c r="F43" s="13">
        <v>500</v>
      </c>
      <c r="G43" s="14">
        <v>500</v>
      </c>
      <c r="H43" s="10"/>
      <c r="I43" s="15"/>
      <c r="J43" s="16"/>
      <c r="K43" s="17"/>
      <c r="L43" s="18">
        <v>1000</v>
      </c>
      <c r="M43" s="19">
        <v>2000</v>
      </c>
      <c r="N43" s="22"/>
      <c r="O43" s="23"/>
    </row>
    <row r="44" spans="2:15" ht="16.5">
      <c r="B44" s="1" t="s">
        <v>22</v>
      </c>
      <c r="C44" s="7">
        <f>SUM(D44:M44)</f>
        <v>9000</v>
      </c>
      <c r="D44" s="9">
        <v>1000</v>
      </c>
      <c r="E44" s="12">
        <v>1000</v>
      </c>
      <c r="F44" s="13">
        <v>500</v>
      </c>
      <c r="G44" s="14">
        <v>500</v>
      </c>
      <c r="H44" s="10"/>
      <c r="I44" s="15"/>
      <c r="J44" s="16"/>
      <c r="K44" s="17"/>
      <c r="L44" s="18">
        <v>2000</v>
      </c>
      <c r="M44" s="19">
        <v>4000</v>
      </c>
      <c r="N44" s="22"/>
      <c r="O44" s="23"/>
    </row>
    <row r="45" spans="1:15" ht="17.25">
      <c r="A45" s="3" t="s">
        <v>23</v>
      </c>
      <c r="C45" s="120">
        <f aca="true" t="shared" si="12" ref="C45:O45">SUM(C46:C50)</f>
        <v>41170</v>
      </c>
      <c r="D45" s="120">
        <f t="shared" si="12"/>
        <v>4020</v>
      </c>
      <c r="E45" s="120">
        <f t="shared" si="12"/>
        <v>5920</v>
      </c>
      <c r="F45" s="120">
        <f t="shared" si="12"/>
        <v>3120</v>
      </c>
      <c r="G45" s="120">
        <f t="shared" si="12"/>
        <v>3060</v>
      </c>
      <c r="H45" s="120">
        <f t="shared" si="12"/>
        <v>0</v>
      </c>
      <c r="I45" s="120">
        <f t="shared" si="12"/>
        <v>0</v>
      </c>
      <c r="J45" s="120">
        <f t="shared" si="12"/>
        <v>0</v>
      </c>
      <c r="K45" s="120">
        <f t="shared" si="12"/>
        <v>0</v>
      </c>
      <c r="L45" s="120">
        <f t="shared" si="12"/>
        <v>8350</v>
      </c>
      <c r="M45" s="120">
        <f t="shared" si="12"/>
        <v>16700</v>
      </c>
      <c r="N45" s="120">
        <f t="shared" si="12"/>
        <v>0</v>
      </c>
      <c r="O45" s="120">
        <f t="shared" si="12"/>
        <v>0</v>
      </c>
    </row>
    <row r="46" spans="2:15" ht="16.5">
      <c r="B46" s="1" t="s">
        <v>24</v>
      </c>
      <c r="C46" s="7">
        <f>SUM(D46:M46)</f>
        <v>4500</v>
      </c>
      <c r="D46" s="9">
        <v>500</v>
      </c>
      <c r="E46" s="12">
        <v>500</v>
      </c>
      <c r="F46" s="13">
        <v>250</v>
      </c>
      <c r="G46" s="14">
        <v>250</v>
      </c>
      <c r="H46" s="10"/>
      <c r="I46" s="15"/>
      <c r="J46" s="16"/>
      <c r="K46" s="17"/>
      <c r="L46" s="18">
        <v>1000</v>
      </c>
      <c r="M46" s="19">
        <v>2000</v>
      </c>
      <c r="N46" s="22"/>
      <c r="O46" s="23"/>
    </row>
    <row r="47" spans="2:15" ht="16.5">
      <c r="B47" s="1" t="s">
        <v>25</v>
      </c>
      <c r="C47" s="7">
        <f>SUM(D47:M47)</f>
        <v>7500</v>
      </c>
      <c r="D47" s="9">
        <v>500</v>
      </c>
      <c r="E47" s="12">
        <v>500</v>
      </c>
      <c r="F47" s="13">
        <v>250</v>
      </c>
      <c r="G47" s="14">
        <v>250</v>
      </c>
      <c r="H47" s="10"/>
      <c r="I47" s="15"/>
      <c r="J47" s="16"/>
      <c r="K47" s="17"/>
      <c r="L47" s="18">
        <v>2000</v>
      </c>
      <c r="M47" s="19">
        <v>4000</v>
      </c>
      <c r="N47" s="22"/>
      <c r="O47" s="23"/>
    </row>
    <row r="48" spans="2:15" ht="16.5">
      <c r="B48" s="1" t="s">
        <v>26</v>
      </c>
      <c r="C48" s="7">
        <f>SUM(D48:M48)</f>
        <v>1470</v>
      </c>
      <c r="D48" s="9">
        <v>120</v>
      </c>
      <c r="E48" s="12">
        <v>120</v>
      </c>
      <c r="F48" s="13">
        <v>120</v>
      </c>
      <c r="G48" s="14">
        <v>60</v>
      </c>
      <c r="H48" s="10"/>
      <c r="I48" s="15"/>
      <c r="J48" s="16"/>
      <c r="K48" s="17"/>
      <c r="L48" s="18">
        <v>350</v>
      </c>
      <c r="M48" s="19">
        <v>700</v>
      </c>
      <c r="N48" s="22"/>
      <c r="O48" s="23"/>
    </row>
    <row r="49" spans="2:15" ht="16.5">
      <c r="B49" s="1" t="s">
        <v>27</v>
      </c>
      <c r="C49" s="7">
        <f>SUM(D49:M49)</f>
        <v>14000</v>
      </c>
      <c r="D49" s="9">
        <v>2400</v>
      </c>
      <c r="E49" s="12">
        <v>3600</v>
      </c>
      <c r="F49" s="13">
        <v>1000</v>
      </c>
      <c r="G49" s="14">
        <v>1000</v>
      </c>
      <c r="H49" s="10"/>
      <c r="I49" s="15"/>
      <c r="J49" s="16"/>
      <c r="K49" s="17"/>
      <c r="L49" s="18">
        <v>2000</v>
      </c>
      <c r="M49" s="19">
        <v>4000</v>
      </c>
      <c r="N49" s="22"/>
      <c r="O49" s="23"/>
    </row>
    <row r="50" spans="2:15" ht="16.5">
      <c r="B50" s="1" t="s">
        <v>28</v>
      </c>
      <c r="C50" s="7">
        <f>SUM(D50:M50)</f>
        <v>13700</v>
      </c>
      <c r="D50" s="9">
        <v>500</v>
      </c>
      <c r="E50" s="12">
        <v>1200</v>
      </c>
      <c r="F50" s="13">
        <v>1500</v>
      </c>
      <c r="G50" s="14">
        <v>1500</v>
      </c>
      <c r="H50" s="10"/>
      <c r="I50" s="15"/>
      <c r="J50" s="16"/>
      <c r="K50" s="17"/>
      <c r="L50" s="18">
        <v>3000</v>
      </c>
      <c r="M50" s="19">
        <v>6000</v>
      </c>
      <c r="N50" s="22"/>
      <c r="O50" s="23"/>
    </row>
    <row r="51" spans="1:15" ht="17.25">
      <c r="A51" s="3" t="s">
        <v>29</v>
      </c>
      <c r="C51" s="120">
        <f aca="true" t="shared" si="13" ref="C51:O51">SUM(C52:C55)</f>
        <v>46300</v>
      </c>
      <c r="D51" s="120">
        <f t="shared" si="13"/>
        <v>8900</v>
      </c>
      <c r="E51" s="120">
        <f t="shared" si="13"/>
        <v>4000</v>
      </c>
      <c r="F51" s="120">
        <f t="shared" si="13"/>
        <v>2900</v>
      </c>
      <c r="G51" s="120">
        <f t="shared" si="13"/>
        <v>7500</v>
      </c>
      <c r="H51" s="120">
        <f t="shared" si="13"/>
        <v>0</v>
      </c>
      <c r="I51" s="120">
        <f t="shared" si="13"/>
        <v>0</v>
      </c>
      <c r="J51" s="120">
        <f t="shared" si="13"/>
        <v>0</v>
      </c>
      <c r="K51" s="120">
        <f t="shared" si="13"/>
        <v>0</v>
      </c>
      <c r="L51" s="120">
        <f t="shared" si="13"/>
        <v>7500</v>
      </c>
      <c r="M51" s="120">
        <f t="shared" si="13"/>
        <v>15500</v>
      </c>
      <c r="N51" s="120">
        <f t="shared" si="13"/>
        <v>0</v>
      </c>
      <c r="O51" s="120">
        <f t="shared" si="13"/>
        <v>0</v>
      </c>
    </row>
    <row r="52" spans="2:15" ht="16.5">
      <c r="B52" s="1" t="s">
        <v>149</v>
      </c>
      <c r="C52" s="7">
        <f>SUM(D52:M52)</f>
        <v>21200</v>
      </c>
      <c r="D52" s="9">
        <v>2400</v>
      </c>
      <c r="E52" s="12">
        <v>1800</v>
      </c>
      <c r="F52" s="13">
        <v>2500</v>
      </c>
      <c r="G52" s="14">
        <v>2500</v>
      </c>
      <c r="H52" s="10"/>
      <c r="I52" s="15"/>
      <c r="J52" s="16"/>
      <c r="K52" s="17"/>
      <c r="L52" s="18">
        <v>4000</v>
      </c>
      <c r="M52" s="19">
        <v>8000</v>
      </c>
      <c r="N52" s="22"/>
      <c r="O52" s="23"/>
    </row>
    <row r="53" spans="2:15" ht="16.5">
      <c r="B53" s="1" t="s">
        <v>30</v>
      </c>
      <c r="C53" s="7">
        <f>SUM(D53:M53)</f>
        <v>13200</v>
      </c>
      <c r="D53" s="9">
        <v>3000</v>
      </c>
      <c r="E53" s="12">
        <v>900</v>
      </c>
      <c r="F53" s="13">
        <v>300</v>
      </c>
      <c r="G53" s="14">
        <v>3000</v>
      </c>
      <c r="H53" s="10"/>
      <c r="I53" s="15"/>
      <c r="J53" s="16"/>
      <c r="K53" s="17"/>
      <c r="L53" s="18">
        <v>1500</v>
      </c>
      <c r="M53" s="19">
        <v>4500</v>
      </c>
      <c r="N53" s="22"/>
      <c r="O53" s="23"/>
    </row>
    <row r="54" spans="2:15" ht="16.5">
      <c r="B54" s="1" t="s">
        <v>31</v>
      </c>
      <c r="C54" s="7">
        <f>SUM(D54:M54)</f>
        <v>4400</v>
      </c>
      <c r="D54" s="9">
        <v>1000</v>
      </c>
      <c r="E54" s="12">
        <v>300</v>
      </c>
      <c r="F54" s="13">
        <v>100</v>
      </c>
      <c r="G54" s="14">
        <v>1000</v>
      </c>
      <c r="H54" s="10"/>
      <c r="I54" s="15"/>
      <c r="J54" s="16"/>
      <c r="K54" s="17"/>
      <c r="L54" s="18">
        <v>500</v>
      </c>
      <c r="M54" s="19">
        <v>1500</v>
      </c>
      <c r="N54" s="22"/>
      <c r="O54" s="23"/>
    </row>
    <row r="55" spans="2:15" ht="16.5">
      <c r="B55" s="1" t="s">
        <v>32</v>
      </c>
      <c r="C55" s="7">
        <f>SUM(D55:M55)</f>
        <v>7500</v>
      </c>
      <c r="D55" s="9">
        <v>2500</v>
      </c>
      <c r="E55" s="12">
        <v>1000</v>
      </c>
      <c r="F55" s="13"/>
      <c r="G55" s="14">
        <v>1000</v>
      </c>
      <c r="H55" s="10"/>
      <c r="I55" s="15"/>
      <c r="J55" s="16"/>
      <c r="K55" s="17"/>
      <c r="L55" s="18">
        <v>1500</v>
      </c>
      <c r="M55" s="19">
        <v>1500</v>
      </c>
      <c r="N55" s="22"/>
      <c r="O55" s="23"/>
    </row>
    <row r="56" spans="1:15" ht="17.25">
      <c r="A56" s="3" t="s">
        <v>33</v>
      </c>
      <c r="C56" s="120">
        <f aca="true" t="shared" si="14" ref="C56:O56">SUM(C57:C60)</f>
        <v>46850</v>
      </c>
      <c r="D56" s="120">
        <f t="shared" si="14"/>
        <v>30750</v>
      </c>
      <c r="E56" s="120">
        <f t="shared" si="14"/>
        <v>250</v>
      </c>
      <c r="F56" s="120">
        <f t="shared" si="14"/>
        <v>300</v>
      </c>
      <c r="G56" s="120">
        <f t="shared" si="14"/>
        <v>550</v>
      </c>
      <c r="H56" s="120">
        <f t="shared" si="14"/>
        <v>0</v>
      </c>
      <c r="I56" s="120">
        <f t="shared" si="14"/>
        <v>0</v>
      </c>
      <c r="J56" s="120">
        <f t="shared" si="14"/>
        <v>0</v>
      </c>
      <c r="K56" s="120">
        <f t="shared" si="14"/>
        <v>0</v>
      </c>
      <c r="L56" s="120">
        <f t="shared" si="14"/>
        <v>6750</v>
      </c>
      <c r="M56" s="120">
        <f t="shared" si="14"/>
        <v>8250</v>
      </c>
      <c r="N56" s="120">
        <f t="shared" si="14"/>
        <v>0</v>
      </c>
      <c r="O56" s="120">
        <f t="shared" si="14"/>
        <v>0</v>
      </c>
    </row>
    <row r="57" spans="2:15" ht="16.5">
      <c r="B57" s="1" t="s">
        <v>34</v>
      </c>
      <c r="C57" s="7">
        <f>SUM(D57:M57)</f>
        <v>20000</v>
      </c>
      <c r="D57" s="9">
        <v>15000</v>
      </c>
      <c r="E57" s="12">
        <v>0</v>
      </c>
      <c r="F57" s="13">
        <v>0</v>
      </c>
      <c r="G57" s="14">
        <v>0</v>
      </c>
      <c r="H57" s="10"/>
      <c r="I57" s="15"/>
      <c r="J57" s="16"/>
      <c r="K57" s="17"/>
      <c r="L57" s="18">
        <v>2500</v>
      </c>
      <c r="M57" s="19">
        <v>2500</v>
      </c>
      <c r="N57" s="22"/>
      <c r="O57" s="23"/>
    </row>
    <row r="58" spans="2:15" ht="16.5">
      <c r="B58" s="1" t="s">
        <v>35</v>
      </c>
      <c r="C58" s="7">
        <f>SUM(D58:M58)</f>
        <v>9000</v>
      </c>
      <c r="D58" s="9">
        <v>5000</v>
      </c>
      <c r="E58" s="12">
        <v>0</v>
      </c>
      <c r="F58" s="13">
        <v>0</v>
      </c>
      <c r="G58" s="14">
        <v>0</v>
      </c>
      <c r="H58" s="10"/>
      <c r="I58" s="15"/>
      <c r="J58" s="16"/>
      <c r="K58" s="17"/>
      <c r="L58" s="18">
        <v>2000</v>
      </c>
      <c r="M58" s="19">
        <v>2000</v>
      </c>
      <c r="N58" s="22"/>
      <c r="O58" s="23"/>
    </row>
    <row r="59" spans="2:15" ht="16.5">
      <c r="B59" s="1" t="s">
        <v>36</v>
      </c>
      <c r="C59" s="7">
        <f>SUM(D59:M59)</f>
        <v>5750</v>
      </c>
      <c r="D59" s="9">
        <v>750</v>
      </c>
      <c r="E59" s="12">
        <v>250</v>
      </c>
      <c r="F59" s="13"/>
      <c r="G59" s="14">
        <v>250</v>
      </c>
      <c r="H59" s="10"/>
      <c r="I59" s="15"/>
      <c r="J59" s="16"/>
      <c r="K59" s="17"/>
      <c r="L59" s="18">
        <v>1500</v>
      </c>
      <c r="M59" s="19">
        <v>3000</v>
      </c>
      <c r="N59" s="22"/>
      <c r="O59" s="23"/>
    </row>
    <row r="60" spans="2:15" ht="16.5">
      <c r="B60" s="1" t="s">
        <v>37</v>
      </c>
      <c r="C60" s="7">
        <f>SUM(D60:M60)</f>
        <v>12100</v>
      </c>
      <c r="D60" s="9">
        <v>10000</v>
      </c>
      <c r="E60" s="12">
        <v>0</v>
      </c>
      <c r="F60" s="13">
        <v>300</v>
      </c>
      <c r="G60" s="14">
        <v>300</v>
      </c>
      <c r="H60" s="10"/>
      <c r="I60" s="15"/>
      <c r="J60" s="16"/>
      <c r="K60" s="17"/>
      <c r="L60" s="18">
        <v>750</v>
      </c>
      <c r="M60" s="19">
        <v>750</v>
      </c>
      <c r="N60" s="22"/>
      <c r="O60" s="23"/>
    </row>
    <row r="61" spans="1:15" ht="17.25">
      <c r="A61" s="3" t="s">
        <v>38</v>
      </c>
      <c r="C61" s="120">
        <f>SUM(C62:C65)</f>
        <v>6500</v>
      </c>
      <c r="D61" s="120">
        <f aca="true" t="shared" si="15" ref="D61:O61">SUM(D62:D65)</f>
        <v>1900</v>
      </c>
      <c r="E61" s="120">
        <f t="shared" si="15"/>
        <v>500</v>
      </c>
      <c r="F61" s="120">
        <f t="shared" si="15"/>
        <v>500</v>
      </c>
      <c r="G61" s="120">
        <f t="shared" si="15"/>
        <v>1000</v>
      </c>
      <c r="H61" s="120">
        <f t="shared" si="15"/>
        <v>0</v>
      </c>
      <c r="I61" s="120">
        <f t="shared" si="15"/>
        <v>0</v>
      </c>
      <c r="J61" s="120">
        <f t="shared" si="15"/>
        <v>0</v>
      </c>
      <c r="K61" s="120">
        <f t="shared" si="15"/>
        <v>0</v>
      </c>
      <c r="L61" s="120">
        <f t="shared" si="15"/>
        <v>0</v>
      </c>
      <c r="M61" s="120">
        <f t="shared" si="15"/>
        <v>2600</v>
      </c>
      <c r="N61" s="120">
        <f t="shared" si="15"/>
        <v>0</v>
      </c>
      <c r="O61" s="120">
        <f t="shared" si="15"/>
        <v>0</v>
      </c>
    </row>
    <row r="62" spans="2:15" ht="16.5">
      <c r="B62" s="1" t="s">
        <v>39</v>
      </c>
      <c r="C62" s="7">
        <f>SUM(D62:M62)</f>
        <v>3000</v>
      </c>
      <c r="D62" s="9">
        <v>500</v>
      </c>
      <c r="E62" s="12">
        <v>500</v>
      </c>
      <c r="F62" s="13"/>
      <c r="G62" s="14">
        <v>500</v>
      </c>
      <c r="H62" s="10"/>
      <c r="I62" s="15"/>
      <c r="J62" s="16"/>
      <c r="K62" s="17"/>
      <c r="L62" s="18"/>
      <c r="M62" s="19">
        <v>1500</v>
      </c>
      <c r="N62" s="22"/>
      <c r="O62" s="23"/>
    </row>
    <row r="63" spans="2:15" ht="16.5">
      <c r="B63" s="1" t="s">
        <v>40</v>
      </c>
      <c r="C63" s="7">
        <f>SUM(D63:M63)</f>
        <v>1500</v>
      </c>
      <c r="D63" s="9"/>
      <c r="E63" s="12"/>
      <c r="F63" s="13">
        <v>500</v>
      </c>
      <c r="G63" s="14">
        <v>500</v>
      </c>
      <c r="H63" s="10"/>
      <c r="I63" s="15"/>
      <c r="J63" s="16"/>
      <c r="K63" s="17"/>
      <c r="L63" s="18"/>
      <c r="M63" s="19">
        <v>500</v>
      </c>
      <c r="N63" s="22"/>
      <c r="O63" s="23"/>
    </row>
    <row r="64" spans="2:15" ht="16.5">
      <c r="B64" s="1" t="s">
        <v>41</v>
      </c>
      <c r="C64" s="7">
        <f>SUM(D64:M64)</f>
        <v>800</v>
      </c>
      <c r="D64" s="9">
        <v>200</v>
      </c>
      <c r="E64" s="12"/>
      <c r="F64" s="13"/>
      <c r="G64" s="14"/>
      <c r="H64" s="10"/>
      <c r="I64" s="15"/>
      <c r="J64" s="16"/>
      <c r="K64" s="17"/>
      <c r="L64" s="18"/>
      <c r="M64" s="19">
        <v>600</v>
      </c>
      <c r="N64" s="22"/>
      <c r="O64" s="23"/>
    </row>
    <row r="65" spans="2:15" ht="16.5">
      <c r="B65" s="1" t="s">
        <v>42</v>
      </c>
      <c r="C65" s="7">
        <f>SUM(D65:M65)</f>
        <v>1200</v>
      </c>
      <c r="D65" s="9">
        <v>1200</v>
      </c>
      <c r="E65" s="12"/>
      <c r="F65" s="13"/>
      <c r="G65" s="14"/>
      <c r="H65" s="10"/>
      <c r="I65" s="15"/>
      <c r="J65" s="16"/>
      <c r="K65" s="17"/>
      <c r="L65" s="18"/>
      <c r="M65" s="19"/>
      <c r="N65" s="22"/>
      <c r="O65" s="23"/>
    </row>
    <row r="66" spans="1:15" ht="17.25">
      <c r="A66" s="3" t="s">
        <v>159</v>
      </c>
      <c r="C66" s="120">
        <f>SUM(C67:C71)</f>
        <v>5350</v>
      </c>
      <c r="D66" s="120">
        <f aca="true" t="shared" si="16" ref="D66:O66">SUM(D67:D71)</f>
        <v>3500</v>
      </c>
      <c r="E66" s="120">
        <f t="shared" si="16"/>
        <v>0</v>
      </c>
      <c r="F66" s="120">
        <f t="shared" si="16"/>
        <v>0</v>
      </c>
      <c r="G66" s="120">
        <f t="shared" si="16"/>
        <v>0</v>
      </c>
      <c r="H66" s="120">
        <f t="shared" si="16"/>
        <v>0</v>
      </c>
      <c r="I66" s="120">
        <f t="shared" si="16"/>
        <v>0</v>
      </c>
      <c r="J66" s="120">
        <f t="shared" si="16"/>
        <v>0</v>
      </c>
      <c r="K66" s="120">
        <f t="shared" si="16"/>
        <v>0</v>
      </c>
      <c r="L66" s="120">
        <f t="shared" si="16"/>
        <v>0</v>
      </c>
      <c r="M66" s="120">
        <f t="shared" si="16"/>
        <v>1500</v>
      </c>
      <c r="N66" s="120">
        <f t="shared" si="16"/>
        <v>0</v>
      </c>
      <c r="O66" s="120">
        <f t="shared" si="16"/>
        <v>350</v>
      </c>
    </row>
    <row r="67" spans="2:15" ht="16.5">
      <c r="B67" s="1" t="s">
        <v>154</v>
      </c>
      <c r="C67" s="7">
        <f>SUM(D67:M67)</f>
        <v>1500</v>
      </c>
      <c r="D67" s="9">
        <v>1500</v>
      </c>
      <c r="E67" s="12"/>
      <c r="F67" s="13"/>
      <c r="G67" s="14"/>
      <c r="H67" s="10"/>
      <c r="I67" s="15"/>
      <c r="J67" s="16"/>
      <c r="K67" s="17"/>
      <c r="L67" s="18"/>
      <c r="M67" s="19"/>
      <c r="N67" s="22"/>
      <c r="O67" s="23"/>
    </row>
    <row r="68" spans="2:15" ht="16.5">
      <c r="B68" s="1" t="s">
        <v>43</v>
      </c>
      <c r="C68" s="7">
        <f>SUM(D68:M68)</f>
        <v>1500</v>
      </c>
      <c r="D68" s="9">
        <v>1500</v>
      </c>
      <c r="E68" s="12"/>
      <c r="F68" s="13"/>
      <c r="G68" s="14"/>
      <c r="H68" s="10"/>
      <c r="I68" s="15"/>
      <c r="J68" s="16"/>
      <c r="K68" s="17"/>
      <c r="L68" s="18"/>
      <c r="M68" s="19"/>
      <c r="N68" s="22"/>
      <c r="O68" s="23"/>
    </row>
    <row r="69" spans="2:15" ht="16.5">
      <c r="B69" s="1" t="s">
        <v>44</v>
      </c>
      <c r="C69" s="7">
        <f>SUM(D69:M69)</f>
        <v>500</v>
      </c>
      <c r="D69" s="9">
        <v>500</v>
      </c>
      <c r="E69" s="12"/>
      <c r="F69" s="13"/>
      <c r="G69" s="14"/>
      <c r="H69" s="10"/>
      <c r="I69" s="15"/>
      <c r="J69" s="16"/>
      <c r="K69" s="17"/>
      <c r="L69" s="18"/>
      <c r="M69" s="19"/>
      <c r="N69" s="22"/>
      <c r="O69" s="23"/>
    </row>
    <row r="70" spans="2:15" ht="16.5">
      <c r="B70" s="1" t="s">
        <v>150</v>
      </c>
      <c r="C70" s="7">
        <f>SUM(D70:M70)</f>
        <v>1500</v>
      </c>
      <c r="D70" s="9"/>
      <c r="E70" s="12"/>
      <c r="F70" s="13"/>
      <c r="G70" s="14"/>
      <c r="H70" s="10"/>
      <c r="I70" s="15"/>
      <c r="J70" s="16"/>
      <c r="K70" s="17"/>
      <c r="L70" s="18"/>
      <c r="M70" s="19">
        <v>1500</v>
      </c>
      <c r="N70" s="22"/>
      <c r="O70" s="23"/>
    </row>
    <row r="71" spans="2:15" ht="16.5">
      <c r="B71" s="1" t="s">
        <v>158</v>
      </c>
      <c r="C71" s="7">
        <f>SUM(D71:O71)</f>
        <v>350</v>
      </c>
      <c r="D71" s="9"/>
      <c r="E71" s="12"/>
      <c r="F71" s="13"/>
      <c r="G71" s="14"/>
      <c r="H71" s="10"/>
      <c r="I71" s="15"/>
      <c r="J71" s="16"/>
      <c r="K71" s="17"/>
      <c r="L71" s="18"/>
      <c r="M71" s="19"/>
      <c r="N71" s="22"/>
      <c r="O71" s="23">
        <v>350</v>
      </c>
    </row>
    <row r="72" spans="4:15" ht="15">
      <c r="D72" s="7"/>
      <c r="E72" s="7"/>
      <c r="F72" s="7"/>
      <c r="G72" s="7"/>
      <c r="H72" s="7"/>
      <c r="I72" s="7"/>
      <c r="J72" s="7"/>
      <c r="K72" s="7"/>
      <c r="L72" s="7"/>
      <c r="M72" s="7"/>
      <c r="N72" s="7"/>
      <c r="O72" s="7"/>
    </row>
    <row r="75" spans="2:9" ht="14.25" customHeight="1">
      <c r="B75" s="139" t="s">
        <v>161</v>
      </c>
      <c r="C75" s="139"/>
      <c r="D75" s="139"/>
      <c r="E75" s="139"/>
      <c r="F75" s="139"/>
      <c r="G75" s="139"/>
      <c r="H75" s="139"/>
      <c r="I75" s="137"/>
    </row>
    <row r="76" spans="2:9" ht="15">
      <c r="B76" s="139"/>
      <c r="C76" s="139"/>
      <c r="D76" s="139"/>
      <c r="E76" s="139"/>
      <c r="F76" s="139"/>
      <c r="G76" s="139"/>
      <c r="H76" s="139"/>
      <c r="I76" s="137"/>
    </row>
    <row r="77" spans="2:9" ht="15">
      <c r="B77" s="139"/>
      <c r="C77" s="139"/>
      <c r="D77" s="139"/>
      <c r="E77" s="139"/>
      <c r="F77" s="139"/>
      <c r="G77" s="139"/>
      <c r="H77" s="139"/>
      <c r="I77" s="137"/>
    </row>
    <row r="78" spans="2:9" ht="15">
      <c r="B78" s="138"/>
      <c r="C78" s="138"/>
      <c r="D78" s="138"/>
      <c r="E78" s="138"/>
      <c r="F78" s="138"/>
      <c r="G78" s="138"/>
      <c r="H78" s="138"/>
      <c r="I78" s="137"/>
    </row>
    <row r="79" spans="2:9" ht="15">
      <c r="B79" s="137"/>
      <c r="C79" s="137"/>
      <c r="D79" s="137"/>
      <c r="E79" s="137"/>
      <c r="F79" s="137"/>
      <c r="G79" s="137"/>
      <c r="H79" s="137"/>
      <c r="I79" s="137"/>
    </row>
    <row r="80" spans="2:9" ht="15">
      <c r="B80" s="137"/>
      <c r="C80" s="137"/>
      <c r="D80" s="137"/>
      <c r="E80" s="137"/>
      <c r="F80" s="137"/>
      <c r="G80" s="137"/>
      <c r="H80" s="137"/>
      <c r="I80" s="137"/>
    </row>
    <row r="81" spans="2:9" ht="15">
      <c r="B81" s="137"/>
      <c r="C81" s="137"/>
      <c r="D81" s="137"/>
      <c r="E81" s="137"/>
      <c r="F81" s="137"/>
      <c r="G81" s="137"/>
      <c r="H81" s="137"/>
      <c r="I81" s="137"/>
    </row>
  </sheetData>
  <sheetProtection/>
  <mergeCells count="7">
    <mergeCell ref="B75:H77"/>
    <mergeCell ref="O4:O5"/>
    <mergeCell ref="F5:G5"/>
    <mergeCell ref="H5:I5"/>
    <mergeCell ref="L5:M5"/>
    <mergeCell ref="N4:N5"/>
    <mergeCell ref="J5:K5"/>
  </mergeCells>
  <printOptions/>
  <pageMargins left="0.5" right="0.5"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B31"/>
  <sheetViews>
    <sheetView showGridLines="0" zoomScalePageLayoutView="0" workbookViewId="0" topLeftCell="A10">
      <selection activeCell="A29" sqref="A29:G31"/>
    </sheetView>
  </sheetViews>
  <sheetFormatPr defaultColWidth="9.140625" defaultRowHeight="15"/>
  <cols>
    <col min="1" max="1" width="18.57421875" style="0" customWidth="1"/>
    <col min="2" max="2" width="15.57421875" style="0" customWidth="1"/>
    <col min="3" max="3" width="10.7109375" style="0" customWidth="1"/>
    <col min="4" max="4" width="12.7109375" style="0" customWidth="1"/>
    <col min="5" max="5" width="10.7109375" style="0" customWidth="1"/>
    <col min="6" max="6" width="12.7109375" style="0" customWidth="1"/>
    <col min="7" max="7" width="6.7109375" style="78" customWidth="1"/>
    <col min="8" max="8" width="10.7109375" style="0" customWidth="1"/>
    <col min="9" max="9" width="6.7109375" style="78" customWidth="1"/>
    <col min="10" max="10" width="10.7109375" style="0" customWidth="1"/>
    <col min="11" max="11" width="6.7109375" style="78" customWidth="1"/>
    <col min="12" max="12" width="10.7109375" style="0" customWidth="1"/>
    <col min="13" max="13" width="6.7109375" style="78" customWidth="1"/>
    <col min="14" max="14" width="10.7109375" style="0" customWidth="1"/>
    <col min="15" max="15" width="6.7109375" style="78" customWidth="1"/>
    <col min="16" max="16" width="10.7109375" style="0" customWidth="1"/>
    <col min="17" max="17" width="6.7109375" style="78" customWidth="1"/>
    <col min="18" max="18" width="10.7109375" style="0" customWidth="1"/>
    <col min="19" max="19" width="6.7109375" style="78" customWidth="1"/>
    <col min="20" max="20" width="10.7109375" style="0" customWidth="1"/>
    <col min="21" max="21" width="6.7109375" style="78" customWidth="1"/>
    <col min="22" max="22" width="10.7109375" style="0" customWidth="1"/>
    <col min="23" max="23" width="6.7109375" style="78" customWidth="1"/>
    <col min="24" max="24" width="10.7109375" style="0" customWidth="1"/>
    <col min="25" max="25" width="6.7109375" style="0" customWidth="1"/>
    <col min="26" max="26" width="10.7109375" style="0" customWidth="1"/>
    <col min="27" max="27" width="6.7109375" style="0" customWidth="1"/>
    <col min="28" max="28" width="10.7109375" style="0" customWidth="1"/>
  </cols>
  <sheetData>
    <row r="1" ht="15">
      <c r="A1" s="2" t="s">
        <v>80</v>
      </c>
    </row>
    <row r="2" spans="1:8" ht="14.25" customHeight="1">
      <c r="A2" s="147" t="s">
        <v>82</v>
      </c>
      <c r="B2" s="147" t="s">
        <v>81</v>
      </c>
      <c r="C2" s="148" t="s">
        <v>83</v>
      </c>
      <c r="D2" s="149" t="s">
        <v>84</v>
      </c>
      <c r="E2" s="147" t="s">
        <v>85</v>
      </c>
      <c r="F2" s="35"/>
      <c r="G2" s="79"/>
      <c r="H2" s="35"/>
    </row>
    <row r="3" spans="1:28" ht="25.5" customHeight="1">
      <c r="A3" s="147"/>
      <c r="B3" s="147"/>
      <c r="C3" s="148"/>
      <c r="D3" s="149"/>
      <c r="E3" s="147"/>
      <c r="F3" s="36"/>
      <c r="G3" s="142" t="s">
        <v>86</v>
      </c>
      <c r="H3" s="143"/>
      <c r="I3" s="142" t="s">
        <v>77</v>
      </c>
      <c r="J3" s="143"/>
      <c r="K3" s="142" t="s">
        <v>51</v>
      </c>
      <c r="L3" s="143"/>
      <c r="M3" s="142" t="s">
        <v>52</v>
      </c>
      <c r="N3" s="143"/>
      <c r="O3" s="142" t="s">
        <v>53</v>
      </c>
      <c r="P3" s="143"/>
      <c r="Q3" s="142" t="s">
        <v>66</v>
      </c>
      <c r="R3" s="143"/>
      <c r="S3" s="142" t="s">
        <v>126</v>
      </c>
      <c r="T3" s="143"/>
      <c r="U3" s="142" t="s">
        <v>73</v>
      </c>
      <c r="V3" s="143"/>
      <c r="W3" s="142" t="s">
        <v>72</v>
      </c>
      <c r="X3" s="143"/>
      <c r="Y3" s="142" t="s">
        <v>87</v>
      </c>
      <c r="Z3" s="143"/>
      <c r="AA3" s="142" t="s">
        <v>87</v>
      </c>
      <c r="AB3" s="143"/>
    </row>
    <row r="4" spans="1:28" ht="15">
      <c r="A4" s="2" t="s">
        <v>89</v>
      </c>
      <c r="B4" s="2" t="s">
        <v>88</v>
      </c>
      <c r="C4" s="37" t="s">
        <v>90</v>
      </c>
      <c r="D4" s="38" t="s">
        <v>91</v>
      </c>
      <c r="E4" s="6" t="s">
        <v>92</v>
      </c>
      <c r="F4" s="6" t="s">
        <v>76</v>
      </c>
      <c r="G4" s="80" t="s">
        <v>93</v>
      </c>
      <c r="H4" s="40" t="s">
        <v>94</v>
      </c>
      <c r="I4" s="80" t="s">
        <v>93</v>
      </c>
      <c r="J4" s="40" t="s">
        <v>94</v>
      </c>
      <c r="K4" s="80" t="s">
        <v>93</v>
      </c>
      <c r="L4" s="40" t="s">
        <v>94</v>
      </c>
      <c r="M4" s="80" t="s">
        <v>93</v>
      </c>
      <c r="N4" s="40" t="s">
        <v>94</v>
      </c>
      <c r="O4" s="80" t="s">
        <v>93</v>
      </c>
      <c r="P4" s="40" t="s">
        <v>94</v>
      </c>
      <c r="Q4" s="80" t="s">
        <v>93</v>
      </c>
      <c r="R4" s="40" t="s">
        <v>94</v>
      </c>
      <c r="S4" s="80" t="s">
        <v>93</v>
      </c>
      <c r="T4" s="40" t="s">
        <v>94</v>
      </c>
      <c r="U4" s="80" t="s">
        <v>93</v>
      </c>
      <c r="V4" s="40" t="s">
        <v>94</v>
      </c>
      <c r="W4" s="80" t="s">
        <v>93</v>
      </c>
      <c r="X4" s="40" t="s">
        <v>94</v>
      </c>
      <c r="Y4" s="39" t="s">
        <v>93</v>
      </c>
      <c r="Z4" s="40" t="s">
        <v>94</v>
      </c>
      <c r="AA4" s="39" t="s">
        <v>93</v>
      </c>
      <c r="AB4" s="40" t="s">
        <v>94</v>
      </c>
    </row>
    <row r="5" spans="1:27" ht="15">
      <c r="A5" t="s">
        <v>142</v>
      </c>
      <c r="B5" t="s">
        <v>95</v>
      </c>
      <c r="C5" s="41"/>
      <c r="D5" s="42">
        <v>69852</v>
      </c>
      <c r="E5" s="43">
        <v>1.01</v>
      </c>
      <c r="F5" s="44">
        <f>ROUNDUP(D5*E5,)</f>
        <v>70551</v>
      </c>
      <c r="G5" s="81">
        <f>I5+K5+M5+O5+Q5+S5+U5+W5+Y5+AA5</f>
        <v>1</v>
      </c>
      <c r="H5" s="44">
        <f>J5+L5+N5+P5+R5+T5+V5+X5+Z5+AB5</f>
        <v>70551</v>
      </c>
      <c r="I5" s="78">
        <v>1</v>
      </c>
      <c r="J5" s="86">
        <f>I5*$F5</f>
        <v>70551</v>
      </c>
      <c r="L5" s="86">
        <f aca="true" t="shared" si="0" ref="J5:L19">K5*$F5</f>
        <v>0</v>
      </c>
      <c r="N5" s="86">
        <f aca="true" t="shared" si="1" ref="N5:N19">M5*$F5</f>
        <v>0</v>
      </c>
      <c r="P5" s="86">
        <f aca="true" t="shared" si="2" ref="P5:P19">O5*$F5</f>
        <v>0</v>
      </c>
      <c r="R5" s="86">
        <f aca="true" t="shared" si="3" ref="R5:R19">Q5*$F5</f>
        <v>0</v>
      </c>
      <c r="T5" s="86">
        <f aca="true" t="shared" si="4" ref="T5:T19">S5*$F5</f>
        <v>0</v>
      </c>
      <c r="V5" s="86">
        <f aca="true" t="shared" si="5" ref="V5:V19">U5*$F5</f>
        <v>0</v>
      </c>
      <c r="X5" s="86">
        <f aca="true" t="shared" si="6" ref="X5:X19">W5*$F5</f>
        <v>0</v>
      </c>
      <c r="Y5" s="45"/>
      <c r="AA5" s="45"/>
    </row>
    <row r="6" spans="1:24" ht="15">
      <c r="A6" t="s">
        <v>127</v>
      </c>
      <c r="B6" t="s">
        <v>96</v>
      </c>
      <c r="C6" s="41"/>
      <c r="D6" s="42">
        <v>53658</v>
      </c>
      <c r="E6" s="43">
        <v>1.01</v>
      </c>
      <c r="F6" s="44">
        <f aca="true" t="shared" si="7" ref="F6:F19">ROUNDUP(D6*E6,)</f>
        <v>54195</v>
      </c>
      <c r="G6" s="81">
        <f aca="true" t="shared" si="8" ref="G6:G19">I6+K6+M6+O6+Q6+S6+U6+W6+Y6+AA6</f>
        <v>1</v>
      </c>
      <c r="H6" s="44">
        <f aca="true" t="shared" si="9" ref="H6:H19">J6+L6+N6+P6+R6+T6+V6+X6+Z6+AB6</f>
        <v>54195</v>
      </c>
      <c r="I6" s="78">
        <v>1</v>
      </c>
      <c r="J6" s="86">
        <f t="shared" si="0"/>
        <v>54195</v>
      </c>
      <c r="L6" s="86">
        <f t="shared" si="0"/>
        <v>0</v>
      </c>
      <c r="N6" s="86">
        <f t="shared" si="1"/>
        <v>0</v>
      </c>
      <c r="P6" s="86">
        <f t="shared" si="2"/>
        <v>0</v>
      </c>
      <c r="R6" s="86">
        <f t="shared" si="3"/>
        <v>0</v>
      </c>
      <c r="T6" s="86">
        <f t="shared" si="4"/>
        <v>0</v>
      </c>
      <c r="V6" s="86">
        <f t="shared" si="5"/>
        <v>0</v>
      </c>
      <c r="X6" s="86">
        <f t="shared" si="6"/>
        <v>0</v>
      </c>
    </row>
    <row r="7" spans="1:24" ht="15">
      <c r="A7" t="s">
        <v>128</v>
      </c>
      <c r="B7" t="s">
        <v>97</v>
      </c>
      <c r="C7" s="41"/>
      <c r="D7" s="42">
        <v>46555</v>
      </c>
      <c r="E7" s="43">
        <v>1.01</v>
      </c>
      <c r="F7" s="44">
        <f t="shared" si="7"/>
        <v>47021</v>
      </c>
      <c r="G7" s="81">
        <f t="shared" si="8"/>
        <v>1</v>
      </c>
      <c r="H7" s="44">
        <f t="shared" si="9"/>
        <v>47021</v>
      </c>
      <c r="I7" s="78">
        <v>1</v>
      </c>
      <c r="J7" s="86">
        <f t="shared" si="0"/>
        <v>47021</v>
      </c>
      <c r="L7" s="86">
        <f t="shared" si="0"/>
        <v>0</v>
      </c>
      <c r="N7" s="86">
        <f t="shared" si="1"/>
        <v>0</v>
      </c>
      <c r="P7" s="86">
        <f t="shared" si="2"/>
        <v>0</v>
      </c>
      <c r="R7" s="86">
        <f t="shared" si="3"/>
        <v>0</v>
      </c>
      <c r="T7" s="86">
        <f t="shared" si="4"/>
        <v>0</v>
      </c>
      <c r="V7" s="86">
        <f t="shared" si="5"/>
        <v>0</v>
      </c>
      <c r="X7" s="86">
        <f t="shared" si="6"/>
        <v>0</v>
      </c>
    </row>
    <row r="8" spans="1:24" ht="15">
      <c r="A8" t="s">
        <v>129</v>
      </c>
      <c r="B8" t="s">
        <v>98</v>
      </c>
      <c r="C8" s="41"/>
      <c r="D8" s="42">
        <v>48629</v>
      </c>
      <c r="E8" s="43">
        <v>1.01</v>
      </c>
      <c r="F8" s="44">
        <f t="shared" si="7"/>
        <v>49116</v>
      </c>
      <c r="G8" s="81">
        <f t="shared" si="8"/>
        <v>1</v>
      </c>
      <c r="H8" s="44">
        <f t="shared" si="9"/>
        <v>49116</v>
      </c>
      <c r="J8" s="86">
        <f t="shared" si="0"/>
        <v>0</v>
      </c>
      <c r="K8" s="78">
        <v>0.4</v>
      </c>
      <c r="L8" s="86">
        <f t="shared" si="0"/>
        <v>19646.4</v>
      </c>
      <c r="N8" s="86">
        <f t="shared" si="1"/>
        <v>0</v>
      </c>
      <c r="P8" s="86">
        <f t="shared" si="2"/>
        <v>0</v>
      </c>
      <c r="R8" s="86">
        <f t="shared" si="3"/>
        <v>0</v>
      </c>
      <c r="T8" s="86">
        <f t="shared" si="4"/>
        <v>0</v>
      </c>
      <c r="U8" s="78">
        <v>0.6</v>
      </c>
      <c r="V8" s="86">
        <f t="shared" si="5"/>
        <v>29469.6</v>
      </c>
      <c r="X8" s="86">
        <f t="shared" si="6"/>
        <v>0</v>
      </c>
    </row>
    <row r="9" spans="1:24" ht="15">
      <c r="A9" t="s">
        <v>130</v>
      </c>
      <c r="B9" t="s">
        <v>99</v>
      </c>
      <c r="C9" s="41"/>
      <c r="D9" s="42">
        <v>51685</v>
      </c>
      <c r="E9" s="43">
        <v>1.01</v>
      </c>
      <c r="F9" s="44">
        <f t="shared" si="7"/>
        <v>52202</v>
      </c>
      <c r="G9" s="81">
        <f t="shared" si="8"/>
        <v>1</v>
      </c>
      <c r="H9" s="44">
        <f t="shared" si="9"/>
        <v>52202</v>
      </c>
      <c r="J9" s="86">
        <f t="shared" si="0"/>
        <v>0</v>
      </c>
      <c r="L9" s="86">
        <f t="shared" si="0"/>
        <v>0</v>
      </c>
      <c r="N9" s="86">
        <f t="shared" si="1"/>
        <v>0</v>
      </c>
      <c r="P9" s="86">
        <f t="shared" si="2"/>
        <v>0</v>
      </c>
      <c r="R9" s="86">
        <f t="shared" si="3"/>
        <v>0</v>
      </c>
      <c r="T9" s="86">
        <f t="shared" si="4"/>
        <v>0</v>
      </c>
      <c r="U9" s="78">
        <v>1</v>
      </c>
      <c r="V9" s="86">
        <f t="shared" si="5"/>
        <v>52202</v>
      </c>
      <c r="X9" s="86">
        <f t="shared" si="6"/>
        <v>0</v>
      </c>
    </row>
    <row r="10" spans="1:24" ht="15">
      <c r="A10" t="s">
        <v>131</v>
      </c>
      <c r="B10" t="s">
        <v>100</v>
      </c>
      <c r="C10" s="41"/>
      <c r="D10" s="42">
        <v>33335</v>
      </c>
      <c r="E10" s="43">
        <v>1.01</v>
      </c>
      <c r="F10" s="44">
        <f t="shared" si="7"/>
        <v>33669</v>
      </c>
      <c r="G10" s="81">
        <f t="shared" si="8"/>
        <v>1</v>
      </c>
      <c r="H10" s="44">
        <f t="shared" si="9"/>
        <v>33669</v>
      </c>
      <c r="J10" s="86">
        <f t="shared" si="0"/>
        <v>0</v>
      </c>
      <c r="L10" s="86">
        <f t="shared" si="0"/>
        <v>0</v>
      </c>
      <c r="N10" s="86">
        <f t="shared" si="1"/>
        <v>0</v>
      </c>
      <c r="O10" s="78">
        <v>1</v>
      </c>
      <c r="P10" s="86">
        <f t="shared" si="2"/>
        <v>33669</v>
      </c>
      <c r="R10" s="86">
        <f t="shared" si="3"/>
        <v>0</v>
      </c>
      <c r="T10" s="86">
        <f t="shared" si="4"/>
        <v>0</v>
      </c>
      <c r="V10" s="86">
        <f t="shared" si="5"/>
        <v>0</v>
      </c>
      <c r="X10" s="86">
        <f t="shared" si="6"/>
        <v>0</v>
      </c>
    </row>
    <row r="11" spans="1:24" ht="15">
      <c r="A11" t="s">
        <v>132</v>
      </c>
      <c r="B11" t="s">
        <v>101</v>
      </c>
      <c r="C11" s="41"/>
      <c r="D11" s="42">
        <v>25325</v>
      </c>
      <c r="E11" s="43">
        <v>1.03</v>
      </c>
      <c r="F11" s="44">
        <f t="shared" si="7"/>
        <v>26085</v>
      </c>
      <c r="G11" s="81">
        <f t="shared" si="8"/>
        <v>1</v>
      </c>
      <c r="H11" s="44">
        <f t="shared" si="9"/>
        <v>26085</v>
      </c>
      <c r="J11" s="86">
        <f t="shared" si="0"/>
        <v>0</v>
      </c>
      <c r="L11" s="86">
        <f t="shared" si="0"/>
        <v>0</v>
      </c>
      <c r="N11" s="86">
        <f t="shared" si="1"/>
        <v>0</v>
      </c>
      <c r="P11" s="86">
        <f t="shared" si="2"/>
        <v>0</v>
      </c>
      <c r="R11" s="86">
        <f t="shared" si="3"/>
        <v>0</v>
      </c>
      <c r="T11" s="86">
        <f t="shared" si="4"/>
        <v>0</v>
      </c>
      <c r="U11" s="78">
        <v>1</v>
      </c>
      <c r="V11" s="86">
        <f t="shared" si="5"/>
        <v>26085</v>
      </c>
      <c r="X11" s="86">
        <f t="shared" si="6"/>
        <v>0</v>
      </c>
    </row>
    <row r="12" spans="1:24" ht="15">
      <c r="A12" t="s">
        <v>133</v>
      </c>
      <c r="B12" t="s">
        <v>102</v>
      </c>
      <c r="C12" s="41">
        <v>11</v>
      </c>
      <c r="D12" s="84">
        <f>2080*C12</f>
        <v>22880</v>
      </c>
      <c r="E12" s="43">
        <v>1.03</v>
      </c>
      <c r="F12" s="44">
        <f t="shared" si="7"/>
        <v>23567</v>
      </c>
      <c r="G12" s="81">
        <f t="shared" si="8"/>
        <v>1</v>
      </c>
      <c r="H12" s="44">
        <f t="shared" si="9"/>
        <v>23567</v>
      </c>
      <c r="J12" s="86">
        <f t="shared" si="0"/>
        <v>0</v>
      </c>
      <c r="L12" s="86">
        <f t="shared" si="0"/>
        <v>0</v>
      </c>
      <c r="N12" s="86">
        <f t="shared" si="1"/>
        <v>0</v>
      </c>
      <c r="P12" s="86">
        <f t="shared" si="2"/>
        <v>0</v>
      </c>
      <c r="R12" s="86">
        <f t="shared" si="3"/>
        <v>0</v>
      </c>
      <c r="T12" s="86">
        <f t="shared" si="4"/>
        <v>0</v>
      </c>
      <c r="U12" s="78">
        <v>1</v>
      </c>
      <c r="V12" s="86">
        <f t="shared" si="5"/>
        <v>23567</v>
      </c>
      <c r="X12" s="86">
        <f t="shared" si="6"/>
        <v>0</v>
      </c>
    </row>
    <row r="13" spans="1:24" ht="15">
      <c r="A13" t="s">
        <v>134</v>
      </c>
      <c r="B13" t="s">
        <v>103</v>
      </c>
      <c r="C13" s="41">
        <v>8.5</v>
      </c>
      <c r="D13" s="84">
        <f aca="true" t="shared" si="10" ref="D13:D19">2080*C13</f>
        <v>17680</v>
      </c>
      <c r="E13" s="43">
        <v>1.03</v>
      </c>
      <c r="F13" s="44">
        <f t="shared" si="7"/>
        <v>18211</v>
      </c>
      <c r="G13" s="81">
        <f t="shared" si="8"/>
        <v>1</v>
      </c>
      <c r="H13" s="44">
        <f t="shared" si="9"/>
        <v>18211</v>
      </c>
      <c r="J13" s="86">
        <f t="shared" si="0"/>
        <v>0</v>
      </c>
      <c r="L13" s="86">
        <f t="shared" si="0"/>
        <v>0</v>
      </c>
      <c r="N13" s="86">
        <f t="shared" si="1"/>
        <v>0</v>
      </c>
      <c r="P13" s="86">
        <f t="shared" si="2"/>
        <v>0</v>
      </c>
      <c r="R13" s="86">
        <f t="shared" si="3"/>
        <v>0</v>
      </c>
      <c r="T13" s="86">
        <f t="shared" si="4"/>
        <v>0</v>
      </c>
      <c r="U13" s="78">
        <v>1</v>
      </c>
      <c r="V13" s="86">
        <f t="shared" si="5"/>
        <v>18211</v>
      </c>
      <c r="X13" s="86">
        <f t="shared" si="6"/>
        <v>0</v>
      </c>
    </row>
    <row r="14" spans="1:24" ht="15">
      <c r="A14" t="s">
        <v>135</v>
      </c>
      <c r="B14" t="s">
        <v>104</v>
      </c>
      <c r="C14" s="41">
        <v>15.15</v>
      </c>
      <c r="D14" s="84">
        <f t="shared" si="10"/>
        <v>31512</v>
      </c>
      <c r="E14" s="43">
        <v>1.05</v>
      </c>
      <c r="F14" s="44">
        <f t="shared" si="7"/>
        <v>33088</v>
      </c>
      <c r="G14" s="81">
        <f t="shared" si="8"/>
        <v>1</v>
      </c>
      <c r="H14" s="44">
        <f t="shared" si="9"/>
        <v>33088</v>
      </c>
      <c r="J14" s="86">
        <f t="shared" si="0"/>
        <v>0</v>
      </c>
      <c r="L14" s="86">
        <f t="shared" si="0"/>
        <v>0</v>
      </c>
      <c r="N14" s="86">
        <f t="shared" si="1"/>
        <v>0</v>
      </c>
      <c r="O14" s="78">
        <v>1</v>
      </c>
      <c r="P14" s="86">
        <f t="shared" si="2"/>
        <v>33088</v>
      </c>
      <c r="R14" s="86">
        <f t="shared" si="3"/>
        <v>0</v>
      </c>
      <c r="T14" s="86">
        <f t="shared" si="4"/>
        <v>0</v>
      </c>
      <c r="V14" s="86">
        <f t="shared" si="5"/>
        <v>0</v>
      </c>
      <c r="X14" s="86">
        <f t="shared" si="6"/>
        <v>0</v>
      </c>
    </row>
    <row r="15" spans="1:24" ht="15">
      <c r="A15" t="s">
        <v>136</v>
      </c>
      <c r="B15" t="s">
        <v>105</v>
      </c>
      <c r="C15" s="41">
        <v>14.5</v>
      </c>
      <c r="D15" s="84">
        <f t="shared" si="10"/>
        <v>30160</v>
      </c>
      <c r="E15" s="43">
        <v>1.05</v>
      </c>
      <c r="F15" s="44">
        <f t="shared" si="7"/>
        <v>31668</v>
      </c>
      <c r="G15" s="81">
        <f t="shared" si="8"/>
        <v>1</v>
      </c>
      <c r="H15" s="44">
        <f t="shared" si="9"/>
        <v>31668</v>
      </c>
      <c r="J15" s="86">
        <f t="shared" si="0"/>
        <v>0</v>
      </c>
      <c r="L15" s="86">
        <f t="shared" si="0"/>
        <v>0</v>
      </c>
      <c r="N15" s="86">
        <f t="shared" si="1"/>
        <v>0</v>
      </c>
      <c r="O15" s="78">
        <v>1</v>
      </c>
      <c r="P15" s="86">
        <f t="shared" si="2"/>
        <v>31668</v>
      </c>
      <c r="R15" s="86">
        <f t="shared" si="3"/>
        <v>0</v>
      </c>
      <c r="T15" s="86">
        <f t="shared" si="4"/>
        <v>0</v>
      </c>
      <c r="V15" s="86">
        <f t="shared" si="5"/>
        <v>0</v>
      </c>
      <c r="X15" s="86">
        <f t="shared" si="6"/>
        <v>0</v>
      </c>
    </row>
    <row r="16" spans="1:24" ht="15">
      <c r="A16" t="s">
        <v>137</v>
      </c>
      <c r="B16" t="s">
        <v>106</v>
      </c>
      <c r="C16" s="41">
        <v>12.25</v>
      </c>
      <c r="D16" s="84">
        <f t="shared" si="10"/>
        <v>25480</v>
      </c>
      <c r="E16" s="43">
        <v>1.05</v>
      </c>
      <c r="F16" s="44">
        <f t="shared" si="7"/>
        <v>26754</v>
      </c>
      <c r="G16" s="81">
        <f t="shared" si="8"/>
        <v>1</v>
      </c>
      <c r="H16" s="44">
        <f t="shared" si="9"/>
        <v>26754</v>
      </c>
      <c r="J16" s="86">
        <f t="shared" si="0"/>
        <v>0</v>
      </c>
      <c r="L16" s="86">
        <f t="shared" si="0"/>
        <v>0</v>
      </c>
      <c r="N16" s="86">
        <f t="shared" si="1"/>
        <v>0</v>
      </c>
      <c r="O16" s="78">
        <v>1</v>
      </c>
      <c r="P16" s="86">
        <f t="shared" si="2"/>
        <v>26754</v>
      </c>
      <c r="R16" s="86">
        <f t="shared" si="3"/>
        <v>0</v>
      </c>
      <c r="T16" s="86">
        <f t="shared" si="4"/>
        <v>0</v>
      </c>
      <c r="V16" s="86">
        <f t="shared" si="5"/>
        <v>0</v>
      </c>
      <c r="X16" s="86">
        <f t="shared" si="6"/>
        <v>0</v>
      </c>
    </row>
    <row r="17" spans="1:24" ht="15">
      <c r="A17" t="s">
        <v>138</v>
      </c>
      <c r="B17" t="s">
        <v>107</v>
      </c>
      <c r="C17" s="41">
        <v>9.5</v>
      </c>
      <c r="D17" s="84">
        <f t="shared" si="10"/>
        <v>19760</v>
      </c>
      <c r="E17" s="43">
        <v>1</v>
      </c>
      <c r="F17" s="44">
        <f t="shared" si="7"/>
        <v>19760</v>
      </c>
      <c r="G17" s="81">
        <f t="shared" si="8"/>
        <v>0.9999999999999999</v>
      </c>
      <c r="H17" s="44">
        <f t="shared" si="9"/>
        <v>19760</v>
      </c>
      <c r="J17" s="86">
        <f t="shared" si="0"/>
        <v>0</v>
      </c>
      <c r="K17" s="78">
        <v>0.3</v>
      </c>
      <c r="L17" s="86">
        <f t="shared" si="0"/>
        <v>5928</v>
      </c>
      <c r="M17" s="78">
        <v>0.6</v>
      </c>
      <c r="N17" s="86">
        <f t="shared" si="1"/>
        <v>11856</v>
      </c>
      <c r="O17" s="78">
        <v>0.1</v>
      </c>
      <c r="P17" s="86">
        <f t="shared" si="2"/>
        <v>1976</v>
      </c>
      <c r="R17" s="86">
        <f t="shared" si="3"/>
        <v>0</v>
      </c>
      <c r="T17" s="86">
        <f t="shared" si="4"/>
        <v>0</v>
      </c>
      <c r="V17" s="86">
        <f t="shared" si="5"/>
        <v>0</v>
      </c>
      <c r="X17" s="86">
        <f t="shared" si="6"/>
        <v>0</v>
      </c>
    </row>
    <row r="18" spans="1:24" ht="15">
      <c r="A18" t="s">
        <v>139</v>
      </c>
      <c r="B18" t="s">
        <v>108</v>
      </c>
      <c r="C18" s="41">
        <v>12.75</v>
      </c>
      <c r="D18" s="84">
        <f t="shared" si="10"/>
        <v>26520</v>
      </c>
      <c r="E18" s="43">
        <v>1</v>
      </c>
      <c r="F18" s="44">
        <f t="shared" si="7"/>
        <v>26520</v>
      </c>
      <c r="G18" s="81">
        <f t="shared" si="8"/>
        <v>1</v>
      </c>
      <c r="H18" s="44">
        <f t="shared" si="9"/>
        <v>26520</v>
      </c>
      <c r="J18" s="86">
        <f t="shared" si="0"/>
        <v>0</v>
      </c>
      <c r="K18" s="78">
        <v>0.2</v>
      </c>
      <c r="L18" s="86">
        <f t="shared" si="0"/>
        <v>5304</v>
      </c>
      <c r="N18" s="86">
        <f t="shared" si="1"/>
        <v>0</v>
      </c>
      <c r="P18" s="86">
        <f t="shared" si="2"/>
        <v>0</v>
      </c>
      <c r="Q18" s="78">
        <v>0.1</v>
      </c>
      <c r="R18" s="86">
        <f t="shared" si="3"/>
        <v>2652</v>
      </c>
      <c r="S18" s="78">
        <v>0.1</v>
      </c>
      <c r="T18" s="86">
        <f t="shared" si="4"/>
        <v>2652</v>
      </c>
      <c r="U18" s="78">
        <v>0.6</v>
      </c>
      <c r="V18" s="86">
        <f t="shared" si="5"/>
        <v>15912</v>
      </c>
      <c r="X18" s="86">
        <f t="shared" si="6"/>
        <v>0</v>
      </c>
    </row>
    <row r="19" spans="1:24" ht="15">
      <c r="A19" t="s">
        <v>140</v>
      </c>
      <c r="B19" t="s">
        <v>109</v>
      </c>
      <c r="C19" s="41">
        <v>8</v>
      </c>
      <c r="D19" s="84">
        <f t="shared" si="10"/>
        <v>16640</v>
      </c>
      <c r="E19" s="43">
        <v>1</v>
      </c>
      <c r="F19" s="44">
        <f t="shared" si="7"/>
        <v>16640</v>
      </c>
      <c r="G19" s="81">
        <f t="shared" si="8"/>
        <v>1</v>
      </c>
      <c r="H19" s="44">
        <f t="shared" si="9"/>
        <v>16640</v>
      </c>
      <c r="I19" s="78">
        <v>1</v>
      </c>
      <c r="J19" s="86">
        <f t="shared" si="0"/>
        <v>16640</v>
      </c>
      <c r="L19" s="86">
        <f t="shared" si="0"/>
        <v>0</v>
      </c>
      <c r="N19" s="86">
        <f t="shared" si="1"/>
        <v>0</v>
      </c>
      <c r="P19" s="86">
        <f t="shared" si="2"/>
        <v>0</v>
      </c>
      <c r="R19" s="86">
        <f t="shared" si="3"/>
        <v>0</v>
      </c>
      <c r="T19" s="86">
        <f t="shared" si="4"/>
        <v>0</v>
      </c>
      <c r="V19" s="86">
        <f t="shared" si="5"/>
        <v>0</v>
      </c>
      <c r="X19" s="86">
        <f t="shared" si="6"/>
        <v>0</v>
      </c>
    </row>
    <row r="20" spans="3:24" ht="15.75" thickBot="1">
      <c r="C20" s="41"/>
      <c r="D20" s="38">
        <f>SUM(D5:D19)</f>
        <v>519671</v>
      </c>
      <c r="E20" s="6"/>
      <c r="F20" s="46">
        <f>SUM(F5:F19)</f>
        <v>529047</v>
      </c>
      <c r="G20" s="82"/>
      <c r="H20" s="46"/>
      <c r="J20" s="87">
        <f>SUM(J5:J19)</f>
        <v>188407</v>
      </c>
      <c r="L20" s="87">
        <f>SUM(L5:L19)</f>
        <v>30878.4</v>
      </c>
      <c r="N20" s="87">
        <f>SUM(N5:N19)</f>
        <v>11856</v>
      </c>
      <c r="P20" s="87">
        <f>SUM(P5:P19)</f>
        <v>127155</v>
      </c>
      <c r="R20" s="87">
        <f>SUM(R5:R19)</f>
        <v>2652</v>
      </c>
      <c r="T20" s="87">
        <f>SUM(T5:T19)</f>
        <v>2652</v>
      </c>
      <c r="V20" s="87">
        <f>SUM(V5:V19)</f>
        <v>165446.6</v>
      </c>
      <c r="X20" s="87">
        <f>SUM(X5:X19)</f>
        <v>0</v>
      </c>
    </row>
    <row r="21" spans="3:8" ht="15.75" thickTop="1">
      <c r="C21" s="41"/>
      <c r="D21" s="85" t="s">
        <v>141</v>
      </c>
      <c r="E21" s="6" t="s">
        <v>92</v>
      </c>
      <c r="F21" s="47">
        <f>F20-D20</f>
        <v>9376</v>
      </c>
      <c r="G21" s="83"/>
      <c r="H21" s="47"/>
    </row>
    <row r="22" spans="6:22" ht="15">
      <c r="F22" s="36" t="s">
        <v>143</v>
      </c>
      <c r="G22" s="88">
        <f>'Computed Fringe'!D15</f>
        <v>0.16100000000000003</v>
      </c>
      <c r="H22" s="44">
        <f>J22+L22+N22+P22+R22+T22+V22</f>
        <v>85178</v>
      </c>
      <c r="J22" s="86">
        <f>ROUNDUP($G$22*J20,)</f>
        <v>30334</v>
      </c>
      <c r="L22" s="86">
        <f>ROUNDUP($G$22*L20,)</f>
        <v>4972</v>
      </c>
      <c r="N22" s="86">
        <f>ROUNDUP($G$22*N20,)</f>
        <v>1909</v>
      </c>
      <c r="P22" s="86">
        <f>ROUNDUP($G$22*P20,)</f>
        <v>20472</v>
      </c>
      <c r="R22" s="86">
        <f>ROUNDUP($G$22*R20,)</f>
        <v>427</v>
      </c>
      <c r="T22" s="86">
        <f>ROUNDUP($G$22*T20,)</f>
        <v>427</v>
      </c>
      <c r="V22" s="86">
        <f>ROUNDUP($G$22*V20,)</f>
        <v>26637</v>
      </c>
    </row>
    <row r="23" ht="15">
      <c r="H23" s="86">
        <f>'Computed Fringe'!D31</f>
        <v>85184</v>
      </c>
    </row>
    <row r="24" spans="9:10" ht="15">
      <c r="I24" s="36" t="s">
        <v>146</v>
      </c>
      <c r="J24" s="86">
        <f>L20+N20+P20+R20+T20+V20</f>
        <v>340640</v>
      </c>
    </row>
    <row r="25" spans="9:22" ht="15">
      <c r="I25" s="81" t="s">
        <v>147</v>
      </c>
      <c r="L25" s="88">
        <f>ROUND(L20/$J$24,1)</f>
        <v>0.1</v>
      </c>
      <c r="M25" s="88"/>
      <c r="N25" s="88">
        <f>N20/$J$24</f>
        <v>0.0348050728041334</v>
      </c>
      <c r="O25" s="88"/>
      <c r="P25" s="88">
        <f>P20/$J$24</f>
        <v>0.37328264443400655</v>
      </c>
      <c r="Q25" s="88"/>
      <c r="R25" s="88">
        <f>R20/$J$24</f>
        <v>0.0077853452325035225</v>
      </c>
      <c r="S25" s="88"/>
      <c r="T25" s="88">
        <f>T20/$J$24</f>
        <v>0.0077853452325035225</v>
      </c>
      <c r="U25" s="88"/>
      <c r="V25" s="88">
        <f>V20/$J$24</f>
        <v>0.48569340065758576</v>
      </c>
    </row>
    <row r="29" spans="1:7" ht="15">
      <c r="A29" s="139" t="s">
        <v>161</v>
      </c>
      <c r="B29" s="139"/>
      <c r="C29" s="139"/>
      <c r="D29" s="139"/>
      <c r="E29" s="139"/>
      <c r="F29" s="139"/>
      <c r="G29" s="139"/>
    </row>
    <row r="30" spans="1:7" ht="15">
      <c r="A30" s="139"/>
      <c r="B30" s="139"/>
      <c r="C30" s="139"/>
      <c r="D30" s="139"/>
      <c r="E30" s="139"/>
      <c r="F30" s="139"/>
      <c r="G30" s="139"/>
    </row>
    <row r="31" spans="1:7" ht="15">
      <c r="A31" s="139"/>
      <c r="B31" s="139"/>
      <c r="C31" s="139"/>
      <c r="D31" s="139"/>
      <c r="E31" s="139"/>
      <c r="F31" s="139"/>
      <c r="G31" s="139"/>
    </row>
  </sheetData>
  <sheetProtection/>
  <mergeCells count="17">
    <mergeCell ref="U3:V3"/>
    <mergeCell ref="W3:X3"/>
    <mergeCell ref="B2:B3"/>
    <mergeCell ref="A2:A3"/>
    <mergeCell ref="C2:C3"/>
    <mergeCell ref="D2:D3"/>
    <mergeCell ref="E2:E3"/>
    <mergeCell ref="A29:G31"/>
    <mergeCell ref="G3:H3"/>
    <mergeCell ref="I3:J3"/>
    <mergeCell ref="K3:L3"/>
    <mergeCell ref="Y3:Z3"/>
    <mergeCell ref="AA3:AB3"/>
    <mergeCell ref="M3:N3"/>
    <mergeCell ref="O3:P3"/>
    <mergeCell ref="Q3:R3"/>
    <mergeCell ref="S3:T3"/>
  </mergeCells>
  <printOptions/>
  <pageMargins left="0.5" right="0.5" top="0.75" bottom="0.75" header="0.3" footer="0.3"/>
  <pageSetup horizontalDpi="600" verticalDpi="600" orientation="landscape" scale="75" r:id="rId1"/>
</worksheet>
</file>

<file path=xl/worksheets/sheet3.xml><?xml version="1.0" encoding="utf-8"?>
<worksheet xmlns="http://schemas.openxmlformats.org/spreadsheetml/2006/main" xmlns:r="http://schemas.openxmlformats.org/officeDocument/2006/relationships">
  <dimension ref="A1:O39"/>
  <sheetViews>
    <sheetView showGridLines="0" tabSelected="1" zoomScalePageLayoutView="0" workbookViewId="0" topLeftCell="A1">
      <selection activeCell="A37" sqref="A37:G39"/>
    </sheetView>
  </sheetViews>
  <sheetFormatPr defaultColWidth="9.140625" defaultRowHeight="15"/>
  <cols>
    <col min="1" max="1" width="18.140625" style="0" customWidth="1"/>
    <col min="2" max="2" width="15.7109375" style="0" customWidth="1"/>
    <col min="3" max="3" width="11.7109375" style="0" customWidth="1"/>
    <col min="4" max="4" width="9.8515625" style="0" customWidth="1"/>
    <col min="5" max="5" width="6.57421875" style="0" customWidth="1"/>
    <col min="8" max="8" width="9.8515625" style="0" customWidth="1"/>
    <col min="9" max="9" width="9.421875" style="0" customWidth="1"/>
    <col min="10" max="10" width="6.28125" style="4" customWidth="1"/>
    <col min="12" max="12" width="8.8515625" style="48" customWidth="1"/>
  </cols>
  <sheetData>
    <row r="1" spans="3:7" ht="15">
      <c r="C1" s="5" t="s">
        <v>110</v>
      </c>
      <c r="F1" s="5"/>
      <c r="G1" s="5"/>
    </row>
    <row r="2" spans="5:12" ht="15">
      <c r="E2" s="5"/>
      <c r="F2" s="5"/>
      <c r="G2" s="5"/>
      <c r="L2" s="49"/>
    </row>
    <row r="3" spans="2:15" ht="69" customHeight="1">
      <c r="B3" s="153" t="s">
        <v>111</v>
      </c>
      <c r="C3" s="154"/>
      <c r="E3" s="155" t="s">
        <v>155</v>
      </c>
      <c r="F3" s="156"/>
      <c r="G3" s="157"/>
      <c r="H3" s="50"/>
      <c r="I3" s="50"/>
      <c r="J3" s="51"/>
      <c r="K3" s="52"/>
      <c r="L3" s="52"/>
      <c r="M3" s="52"/>
      <c r="N3" s="51"/>
      <c r="O3" s="51"/>
    </row>
    <row r="4" spans="1:12" ht="15">
      <c r="A4" s="53"/>
      <c r="B4" s="107" t="s">
        <v>112</v>
      </c>
      <c r="C4" s="108">
        <v>0.0765</v>
      </c>
      <c r="E4" s="158" t="s">
        <v>113</v>
      </c>
      <c r="F4" s="159"/>
      <c r="G4" s="160"/>
      <c r="H4" s="54"/>
      <c r="I4" s="54"/>
      <c r="K4" s="55"/>
      <c r="L4" s="56"/>
    </row>
    <row r="5" spans="1:12" ht="15">
      <c r="A5" s="53"/>
      <c r="B5" s="109" t="s">
        <v>114</v>
      </c>
      <c r="C5" s="110">
        <v>0.0185</v>
      </c>
      <c r="E5" s="113"/>
      <c r="F5" s="114" t="s">
        <v>151</v>
      </c>
      <c r="G5" s="115">
        <v>350</v>
      </c>
      <c r="L5" s="57"/>
    </row>
    <row r="6" spans="1:12" ht="15">
      <c r="A6" s="53"/>
      <c r="B6" s="109" t="s">
        <v>115</v>
      </c>
      <c r="C6" s="110">
        <v>0.0475</v>
      </c>
      <c r="E6" s="113"/>
      <c r="F6" s="114" t="s">
        <v>156</v>
      </c>
      <c r="G6" s="115">
        <v>450</v>
      </c>
      <c r="K6" s="6"/>
      <c r="L6" s="58"/>
    </row>
    <row r="7" spans="1:7" ht="15">
      <c r="A7" s="53"/>
      <c r="B7" s="109" t="s">
        <v>116</v>
      </c>
      <c r="C7" s="110">
        <v>0.018500000000000003</v>
      </c>
      <c r="D7" s="42"/>
      <c r="E7" s="113"/>
      <c r="F7" s="114" t="s">
        <v>152</v>
      </c>
      <c r="G7" s="115">
        <v>750</v>
      </c>
    </row>
    <row r="8" spans="1:7" ht="15">
      <c r="A8" s="53"/>
      <c r="B8" s="111" t="s">
        <v>117</v>
      </c>
      <c r="C8" s="112">
        <f>SUM(C4:C7)</f>
        <v>0.16100000000000003</v>
      </c>
      <c r="D8" s="42"/>
      <c r="E8" s="116"/>
      <c r="F8" s="117" t="s">
        <v>153</v>
      </c>
      <c r="G8" s="118">
        <v>850</v>
      </c>
    </row>
    <row r="9" spans="2:12" s="53" customFormat="1" ht="15">
      <c r="B9" s="161" t="s">
        <v>157</v>
      </c>
      <c r="C9" s="162"/>
      <c r="D9" s="59"/>
      <c r="E9" s="161" t="s">
        <v>118</v>
      </c>
      <c r="F9" s="167"/>
      <c r="G9" s="168"/>
      <c r="H9" s="35"/>
      <c r="I9" s="60"/>
      <c r="J9" s="61"/>
      <c r="L9" s="60"/>
    </row>
    <row r="10" spans="2:7" s="53" customFormat="1" ht="15">
      <c r="B10" s="163"/>
      <c r="C10" s="164"/>
      <c r="E10" s="169"/>
      <c r="F10" s="170"/>
      <c r="G10" s="171"/>
    </row>
    <row r="11" spans="2:12" s="53" customFormat="1" ht="15">
      <c r="B11" s="163"/>
      <c r="C11" s="164"/>
      <c r="D11" s="59"/>
      <c r="E11" s="169"/>
      <c r="F11" s="170"/>
      <c r="G11" s="171"/>
      <c r="H11" s="35"/>
      <c r="I11" s="60"/>
      <c r="J11" s="61"/>
      <c r="L11" s="60"/>
    </row>
    <row r="12" spans="2:12" s="53" customFormat="1" ht="15">
      <c r="B12" s="165"/>
      <c r="C12" s="166"/>
      <c r="D12" s="59"/>
      <c r="E12" s="172"/>
      <c r="F12" s="173"/>
      <c r="G12" s="174"/>
      <c r="H12" s="35"/>
      <c r="I12" s="60"/>
      <c r="J12" s="61"/>
      <c r="L12" s="60"/>
    </row>
    <row r="13" spans="1:12" s="53" customFormat="1" ht="15" customHeight="1">
      <c r="A13" s="62"/>
      <c r="B13" s="62"/>
      <c r="C13" s="36"/>
      <c r="H13" s="35"/>
      <c r="I13" s="60"/>
      <c r="J13" s="61"/>
      <c r="L13" s="60"/>
    </row>
    <row r="14" spans="1:7" ht="54.75" customHeight="1">
      <c r="A14" s="150" t="s">
        <v>119</v>
      </c>
      <c r="B14" s="150"/>
      <c r="C14" s="150"/>
      <c r="D14" s="105" t="s">
        <v>120</v>
      </c>
      <c r="E14" s="151" t="s">
        <v>121</v>
      </c>
      <c r="F14" s="152"/>
      <c r="G14" s="106" t="s">
        <v>122</v>
      </c>
    </row>
    <row r="15" spans="1:7" ht="15">
      <c r="A15" s="5" t="s">
        <v>89</v>
      </c>
      <c r="B15" s="5" t="s">
        <v>88</v>
      </c>
      <c r="C15" s="6" t="s">
        <v>76</v>
      </c>
      <c r="D15" s="63">
        <f>C8</f>
        <v>0.16100000000000003</v>
      </c>
      <c r="E15" s="64" t="s">
        <v>123</v>
      </c>
      <c r="F15" s="65" t="s">
        <v>94</v>
      </c>
      <c r="G15" s="66">
        <f>G31/C31</f>
        <v>0.011246637822348486</v>
      </c>
    </row>
    <row r="16" spans="1:7" ht="15">
      <c r="A16" s="4" t="str">
        <f>'Hourly and Annual'!A5</f>
        <v>Angela Baker</v>
      </c>
      <c r="B16" t="str">
        <f>'Hourly and Annual'!B5</f>
        <v>Executive Director</v>
      </c>
      <c r="C16" s="44">
        <f>'Hourly and Annual'!F5</f>
        <v>70551</v>
      </c>
      <c r="D16" s="67">
        <f aca="true" t="shared" si="0" ref="D16:D30">ROUNDUP($D$15*C16,)</f>
        <v>11359</v>
      </c>
      <c r="E16" s="68">
        <v>0.02</v>
      </c>
      <c r="F16" s="69">
        <f aca="true" t="shared" si="1" ref="F16:F30">E16*C16</f>
        <v>1411.02</v>
      </c>
      <c r="G16" s="60">
        <v>850</v>
      </c>
    </row>
    <row r="17" spans="1:7" ht="15">
      <c r="A17" s="4" t="str">
        <f>'Hourly and Annual'!A6</f>
        <v>Cindy Davis</v>
      </c>
      <c r="B17" t="str">
        <f>'Hourly and Annual'!B6</f>
        <v>Finance Director</v>
      </c>
      <c r="C17" s="44">
        <f>'Hourly and Annual'!F6</f>
        <v>54195</v>
      </c>
      <c r="D17" s="67">
        <f t="shared" si="0"/>
        <v>8726</v>
      </c>
      <c r="E17" s="68">
        <v>0.02</v>
      </c>
      <c r="F17" s="69">
        <f t="shared" si="1"/>
        <v>1083.9</v>
      </c>
      <c r="G17" s="60">
        <v>0</v>
      </c>
    </row>
    <row r="18" spans="1:7" ht="15">
      <c r="A18" s="4" t="str">
        <f>'Hourly and Annual'!A7</f>
        <v>Ellen Folkes</v>
      </c>
      <c r="B18" t="str">
        <f>'Hourly and Annual'!B7</f>
        <v>HR Director</v>
      </c>
      <c r="C18" s="44">
        <f>'Hourly and Annual'!F7</f>
        <v>47021</v>
      </c>
      <c r="D18" s="67">
        <f t="shared" si="0"/>
        <v>7571</v>
      </c>
      <c r="E18" s="68">
        <v>0.02</v>
      </c>
      <c r="F18" s="69">
        <f t="shared" si="1"/>
        <v>940.4200000000001</v>
      </c>
      <c r="G18" s="60">
        <v>750</v>
      </c>
    </row>
    <row r="19" spans="1:7" ht="15">
      <c r="A19" s="4" t="str">
        <f>'Hourly and Annual'!A8</f>
        <v>Gaylee Howard</v>
      </c>
      <c r="B19" t="str">
        <f>'Hourly and Annual'!B8</f>
        <v>Family Services</v>
      </c>
      <c r="C19" s="44">
        <f>'Hourly and Annual'!F8</f>
        <v>49116</v>
      </c>
      <c r="D19" s="67">
        <f t="shared" si="0"/>
        <v>7908</v>
      </c>
      <c r="E19" s="68">
        <v>0.02</v>
      </c>
      <c r="F19" s="69">
        <f t="shared" si="1"/>
        <v>982.32</v>
      </c>
      <c r="G19" s="60">
        <v>0</v>
      </c>
    </row>
    <row r="20" spans="1:7" ht="15">
      <c r="A20" s="4" t="str">
        <f>'Hourly and Annual'!A9</f>
        <v>Ida Jackson</v>
      </c>
      <c r="B20" t="str">
        <f>'Hourly and Annual'!B9</f>
        <v>EHS/HS Director</v>
      </c>
      <c r="C20" s="44">
        <f>'Hourly and Annual'!F9</f>
        <v>52202</v>
      </c>
      <c r="D20" s="67">
        <f t="shared" si="0"/>
        <v>8405</v>
      </c>
      <c r="E20" s="68">
        <v>0.02</v>
      </c>
      <c r="F20" s="69">
        <f t="shared" si="1"/>
        <v>1044.04</v>
      </c>
      <c r="G20" s="60">
        <v>750</v>
      </c>
    </row>
    <row r="21" spans="1:7" ht="15">
      <c r="A21" s="4" t="str">
        <f>'Hourly and Annual'!A10</f>
        <v>Kevin Lynch</v>
      </c>
      <c r="B21" t="str">
        <f>'Hourly and Annual'!B10</f>
        <v>Housing Director</v>
      </c>
      <c r="C21" s="44">
        <f>'Hourly and Annual'!F10</f>
        <v>33669</v>
      </c>
      <c r="D21" s="67">
        <f t="shared" si="0"/>
        <v>5421</v>
      </c>
      <c r="E21" s="68">
        <v>0.04</v>
      </c>
      <c r="F21" s="69">
        <f t="shared" si="1"/>
        <v>1346.76</v>
      </c>
      <c r="G21" s="60">
        <v>850</v>
      </c>
    </row>
    <row r="22" spans="1:7" ht="15">
      <c r="A22" s="4" t="str">
        <f>'Hourly and Annual'!A11</f>
        <v>Marian Newton</v>
      </c>
      <c r="B22" t="str">
        <f>'Hourly and Annual'!B11</f>
        <v>Teacher</v>
      </c>
      <c r="C22" s="44">
        <f>'Hourly and Annual'!F11</f>
        <v>26085</v>
      </c>
      <c r="D22" s="67">
        <f t="shared" si="0"/>
        <v>4200</v>
      </c>
      <c r="E22" s="68">
        <v>0.02</v>
      </c>
      <c r="F22" s="69">
        <f t="shared" si="1"/>
        <v>521.7</v>
      </c>
      <c r="G22" s="60">
        <v>350</v>
      </c>
    </row>
    <row r="23" spans="1:7" ht="15">
      <c r="A23" s="4" t="str">
        <f>'Hourly and Annual'!A12</f>
        <v>Orlando Palmer</v>
      </c>
      <c r="B23" t="str">
        <f>'Hourly and Annual'!B12</f>
        <v>Teacher Assistant</v>
      </c>
      <c r="C23" s="44">
        <f>'Hourly and Annual'!F12</f>
        <v>23567</v>
      </c>
      <c r="D23" s="67">
        <f t="shared" si="0"/>
        <v>3795</v>
      </c>
      <c r="E23" s="68">
        <v>0.02</v>
      </c>
      <c r="F23" s="69">
        <f t="shared" si="1"/>
        <v>471.34000000000003</v>
      </c>
      <c r="G23" s="60">
        <v>350</v>
      </c>
    </row>
    <row r="24" spans="1:7" ht="15">
      <c r="A24" s="4" t="str">
        <f>'Hourly and Annual'!A13</f>
        <v>Quinella Ransom</v>
      </c>
      <c r="B24" t="str">
        <f>'Hourly and Annual'!B13</f>
        <v>Teacher Aide</v>
      </c>
      <c r="C24" s="44">
        <f>'Hourly and Annual'!F13</f>
        <v>18211</v>
      </c>
      <c r="D24" s="67">
        <f t="shared" si="0"/>
        <v>2932</v>
      </c>
      <c r="E24" s="68">
        <v>0.02</v>
      </c>
      <c r="F24" s="69">
        <f t="shared" si="1"/>
        <v>364.22</v>
      </c>
      <c r="G24" s="60">
        <v>0</v>
      </c>
    </row>
    <row r="25" spans="1:7" ht="15">
      <c r="A25" s="4" t="str">
        <f>'Hourly and Annual'!A14</f>
        <v>Steve Traynor</v>
      </c>
      <c r="B25" t="str">
        <f>'Hourly and Annual'!B14</f>
        <v>House inspector</v>
      </c>
      <c r="C25" s="44">
        <f>'Hourly and Annual'!F14</f>
        <v>33088</v>
      </c>
      <c r="D25" s="67">
        <f t="shared" si="0"/>
        <v>5328</v>
      </c>
      <c r="E25" s="68">
        <v>0.04</v>
      </c>
      <c r="F25" s="69">
        <f t="shared" si="1"/>
        <v>1323.52</v>
      </c>
      <c r="G25" s="60">
        <v>850</v>
      </c>
    </row>
    <row r="26" spans="1:7" ht="15">
      <c r="A26" s="4" t="str">
        <f>'Hourly and Annual'!A15</f>
        <v>Udell Vickers</v>
      </c>
      <c r="B26" t="str">
        <f>'Hourly and Annual'!B15</f>
        <v>Crew leader</v>
      </c>
      <c r="C26" s="44">
        <f>'Hourly and Annual'!F15</f>
        <v>31668</v>
      </c>
      <c r="D26" s="67">
        <f t="shared" si="0"/>
        <v>5099</v>
      </c>
      <c r="E26" s="68">
        <v>0.04</v>
      </c>
      <c r="F26" s="69">
        <f t="shared" si="1"/>
        <v>1266.72</v>
      </c>
      <c r="G26" s="60">
        <v>450</v>
      </c>
    </row>
    <row r="27" spans="1:7" ht="15">
      <c r="A27" s="4" t="str">
        <f>'Hourly and Annual'!A16</f>
        <v>Wayne Xavier</v>
      </c>
      <c r="B27" t="str">
        <f>'Hourly and Annual'!B16</f>
        <v>Wx Technician</v>
      </c>
      <c r="C27" s="44">
        <f>'Hourly and Annual'!F16</f>
        <v>26754</v>
      </c>
      <c r="D27" s="67">
        <f t="shared" si="0"/>
        <v>4308</v>
      </c>
      <c r="E27" s="68">
        <v>0.04</v>
      </c>
      <c r="F27" s="69">
        <f t="shared" si="1"/>
        <v>1070.16</v>
      </c>
      <c r="G27" s="60">
        <v>0</v>
      </c>
    </row>
    <row r="28" spans="1:7" ht="15">
      <c r="A28" s="4" t="str">
        <f>'Hourly and Annual'!A17</f>
        <v>Yolanda Zenith</v>
      </c>
      <c r="B28" t="str">
        <f>'Hourly and Annual'!B17</f>
        <v>Intake Worker</v>
      </c>
      <c r="C28" s="44">
        <f>'Hourly and Annual'!F17</f>
        <v>19760</v>
      </c>
      <c r="D28" s="67">
        <f t="shared" si="0"/>
        <v>3182</v>
      </c>
      <c r="E28" s="68">
        <v>0.03</v>
      </c>
      <c r="F28" s="69">
        <f t="shared" si="1"/>
        <v>592.8</v>
      </c>
      <c r="G28" s="60">
        <v>0</v>
      </c>
    </row>
    <row r="29" spans="1:7" ht="15">
      <c r="A29" s="4" t="str">
        <f>'Hourly and Annual'!A18</f>
        <v>Abby Baker</v>
      </c>
      <c r="B29" t="str">
        <f>'Hourly and Annual'!B18</f>
        <v>FD Specialist</v>
      </c>
      <c r="C29" s="44">
        <f>'Hourly and Annual'!F18</f>
        <v>26520</v>
      </c>
      <c r="D29" s="67">
        <f t="shared" si="0"/>
        <v>4270</v>
      </c>
      <c r="E29" s="68">
        <v>0.03</v>
      </c>
      <c r="F29" s="69">
        <f t="shared" si="1"/>
        <v>795.6</v>
      </c>
      <c r="G29" s="60">
        <v>750</v>
      </c>
    </row>
    <row r="30" spans="1:7" ht="15">
      <c r="A30" s="4" t="str">
        <f>'Hourly and Annual'!A19</f>
        <v>Christa Dodd</v>
      </c>
      <c r="B30" t="str">
        <f>'Hourly and Annual'!B19</f>
        <v>Receptionist</v>
      </c>
      <c r="C30" s="44">
        <f>'Hourly and Annual'!F19</f>
        <v>16640</v>
      </c>
      <c r="D30" s="67">
        <f t="shared" si="0"/>
        <v>2680</v>
      </c>
      <c r="E30" s="68">
        <v>0.02</v>
      </c>
      <c r="F30" s="69">
        <f t="shared" si="1"/>
        <v>332.8</v>
      </c>
      <c r="G30" s="60">
        <v>0</v>
      </c>
    </row>
    <row r="31" spans="3:7" ht="15">
      <c r="C31" s="46">
        <f>SUM(C16:C30)</f>
        <v>529047</v>
      </c>
      <c r="D31" s="70">
        <f>SUM(D16:D30)</f>
        <v>85184</v>
      </c>
      <c r="E31" s="71"/>
      <c r="F31" s="72">
        <f>SUM(F16:F30)</f>
        <v>13547.319999999998</v>
      </c>
      <c r="G31" s="73">
        <f>SUM(G16:G30)</f>
        <v>5950</v>
      </c>
    </row>
    <row r="32" spans="3:7" ht="15">
      <c r="C32" s="47"/>
      <c r="D32" s="74"/>
      <c r="E32" s="75"/>
      <c r="F32" s="76" t="s">
        <v>124</v>
      </c>
      <c r="G32" s="69">
        <f>G31+F31+D31</f>
        <v>104681.32</v>
      </c>
    </row>
    <row r="33" spans="4:7" ht="15">
      <c r="D33" s="74"/>
      <c r="E33" s="75"/>
      <c r="F33" s="76" t="s">
        <v>125</v>
      </c>
      <c r="G33" s="77">
        <f>G32/C31</f>
        <v>0.19786771307653198</v>
      </c>
    </row>
    <row r="37" spans="1:7" ht="15">
      <c r="A37" s="139" t="s">
        <v>161</v>
      </c>
      <c r="B37" s="139"/>
      <c r="C37" s="139"/>
      <c r="D37" s="139"/>
      <c r="E37" s="139"/>
      <c r="F37" s="139"/>
      <c r="G37" s="139"/>
    </row>
    <row r="38" spans="1:7" ht="15">
      <c r="A38" s="139"/>
      <c r="B38" s="139"/>
      <c r="C38" s="139"/>
      <c r="D38" s="139"/>
      <c r="E38" s="139"/>
      <c r="F38" s="139"/>
      <c r="G38" s="139"/>
    </row>
    <row r="39" spans="1:7" ht="15">
      <c r="A39" s="139"/>
      <c r="B39" s="139"/>
      <c r="C39" s="139"/>
      <c r="D39" s="139"/>
      <c r="E39" s="139"/>
      <c r="F39" s="139"/>
      <c r="G39" s="139"/>
    </row>
  </sheetData>
  <sheetProtection/>
  <mergeCells count="8">
    <mergeCell ref="A37:G39"/>
    <mergeCell ref="A14:C14"/>
    <mergeCell ref="E14:F14"/>
    <mergeCell ref="B3:C3"/>
    <mergeCell ref="E3:G3"/>
    <mergeCell ref="E4:G4"/>
    <mergeCell ref="B9:C12"/>
    <mergeCell ref="E9:G12"/>
  </mergeCells>
  <printOptions/>
  <pageMargins left="0.7" right="0.7" top="0.75" bottom="0.75" header="0.3" footer="0.3"/>
  <pageSetup horizontalDpi="600" verticalDpi="600" orientation="portrait" r:id="rId1"/>
  <headerFooter>
    <oddHeader>&amp;LAgency-Wide Budget Workbook&amp;C&amp;"-,Bold"&amp;14Computed Fringe&amp;RBeyond the Basics Webinar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Owen</dc:creator>
  <cp:keywords/>
  <dc:description/>
  <cp:lastModifiedBy>cara.loffredo</cp:lastModifiedBy>
  <cp:lastPrinted>2011-05-24T18:20:47Z</cp:lastPrinted>
  <dcterms:created xsi:type="dcterms:W3CDTF">2011-04-28T20:15:45Z</dcterms:created>
  <dcterms:modified xsi:type="dcterms:W3CDTF">2012-02-07T19:33:37Z</dcterms:modified>
  <cp:category/>
  <cp:version/>
  <cp:contentType/>
  <cp:contentStatus/>
</cp:coreProperties>
</file>